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DieseArbeitsmappe"/>
  <mc:AlternateContent xmlns:mc="http://schemas.openxmlformats.org/markup-compatibility/2006">
    <mc:Choice Requires="x15">
      <x15ac:absPath xmlns:x15ac="http://schemas.microsoft.com/office/spreadsheetml/2010/11/ac" url="C:\Users\u1jasege\Documents\02_Work\01_Hartmann\00_ROI\AI use case evaluation tool\Upwork 7\"/>
    </mc:Choice>
  </mc:AlternateContent>
  <xr:revisionPtr revIDLastSave="0" documentId="8_{38C839FB-91E8-4E84-B657-E259224A9372}" xr6:coauthVersionLast="47" xr6:coauthVersionMax="47" xr10:uidLastSave="{00000000-0000-0000-0000-000000000000}"/>
  <bookViews>
    <workbookView xWindow="-120" yWindow="-16320" windowWidth="29040" windowHeight="15840" tabRatio="612" xr2:uid="{00000000-000D-0000-FFFF-FFFF00000000}"/>
  </bookViews>
  <sheets>
    <sheet name="0-Home" sheetId="28" r:id="rId1"/>
    <sheet name="1-Description" sheetId="22" r:id="rId2"/>
    <sheet name="2-Value" sheetId="23" r:id="rId3"/>
    <sheet name="3-Costs" sheetId="26" r:id="rId4"/>
    <sheet name="4-Contacts" sheetId="27" r:id="rId5"/>
    <sheet name="5-Assessment" sheetId="29" r:id="rId6"/>
    <sheet name="Links" sheetId="30" r:id="rId7"/>
    <sheet name="Burndown calculation" sheetId="32" r:id="rId8"/>
    <sheet name="Typical ML cases" sheetId="33" r:id="rId9"/>
  </sheets>
  <definedNames>
    <definedName name="_xlnm._FilterDatabase" localSheetId="5" hidden="1">'5-Assessment'!$U$8:$U$14</definedName>
    <definedName name="CashFlow" localSheetId="7">OFFSET(Table1[[#Headers],[Cashflow]],1,0,'5-Assessment'!$Q$38+1)</definedName>
    <definedName name="CashFlow" localSheetId="6">OFFSET(Table1[[#Headers],[Cashflow]],1,0,'5-Assessment'!$Q$38+1)</definedName>
    <definedName name="CashFlow" localSheetId="8">OFFSET(Table1[[#Headers],[Cashflow]],1,0,'5-Assessment'!$Q$38+1)</definedName>
    <definedName name="CashFlow">OFFSET(Table1[[#Headers],[Cashflow]],1,0,'5-Assessment'!$Q$38+1)</definedName>
    <definedName name="Post_MVP_Pre__depl._assessment">'1-Description'!$E$31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31" i="22" l="1"/>
  <c r="G76" i="26" l="1"/>
  <c r="I74" i="26"/>
  <c r="O30" i="29" s="1"/>
  <c r="M46" i="23"/>
  <c r="M44" i="23"/>
  <c r="M48" i="23" l="1"/>
  <c r="I24" i="26"/>
  <c r="N3" i="28" l="1"/>
  <c r="N2" i="28"/>
  <c r="I100" i="26"/>
  <c r="I98" i="26"/>
  <c r="I92" i="26"/>
  <c r="I90" i="26"/>
  <c r="I84" i="26"/>
  <c r="I82" i="26"/>
  <c r="I64" i="26"/>
  <c r="I66" i="26"/>
  <c r="I72" i="26"/>
  <c r="I76" i="26" s="1"/>
  <c r="I58" i="26"/>
  <c r="I56" i="26"/>
  <c r="I50" i="26"/>
  <c r="I48" i="26"/>
  <c r="I42" i="26"/>
  <c r="I40" i="26"/>
  <c r="I34" i="26"/>
  <c r="I32" i="26"/>
  <c r="I26" i="26"/>
  <c r="I28" i="26" s="1"/>
  <c r="I61" i="22"/>
  <c r="I59" i="22"/>
  <c r="I57" i="22"/>
  <c r="I55" i="22"/>
  <c r="N23" i="32"/>
  <c r="I23" i="32"/>
  <c r="E15" i="32"/>
  <c r="E102" i="26"/>
  <c r="E94" i="26"/>
  <c r="E86" i="26"/>
  <c r="E60" i="26"/>
  <c r="E52" i="26"/>
  <c r="E44" i="26"/>
  <c r="E36" i="26"/>
  <c r="G118" i="26"/>
  <c r="G110" i="26"/>
  <c r="G102" i="26"/>
  <c r="G94" i="26"/>
  <c r="G86" i="26"/>
  <c r="G68" i="26"/>
  <c r="G60" i="26"/>
  <c r="G52" i="26"/>
  <c r="G44" i="26"/>
  <c r="G36" i="26"/>
  <c r="G28" i="26"/>
  <c r="E28" i="26"/>
  <c r="O56" i="23"/>
  <c r="K56" i="23"/>
  <c r="I56" i="23"/>
  <c r="G56" i="23"/>
  <c r="E56" i="23"/>
  <c r="O48" i="23"/>
  <c r="K48" i="23"/>
  <c r="I48" i="23"/>
  <c r="G48" i="23"/>
  <c r="E48" i="23"/>
  <c r="O40" i="23"/>
  <c r="K40" i="23"/>
  <c r="I40" i="23"/>
  <c r="G40" i="23"/>
  <c r="E40" i="23"/>
  <c r="O32" i="23"/>
  <c r="K32" i="23"/>
  <c r="I32" i="23"/>
  <c r="G32" i="23"/>
  <c r="E32" i="23"/>
  <c r="M38" i="23"/>
  <c r="M36" i="23"/>
  <c r="M30" i="23"/>
  <c r="E10" i="26" l="1"/>
  <c r="T39" i="29" s="1"/>
  <c r="I68" i="26"/>
  <c r="I52" i="26"/>
  <c r="I86" i="26"/>
  <c r="I36" i="26"/>
  <c r="I102" i="26"/>
  <c r="I94" i="26"/>
  <c r="I60" i="26"/>
  <c r="I44" i="26"/>
  <c r="O19" i="29" s="1"/>
  <c r="M40" i="23"/>
  <c r="M28" i="23"/>
  <c r="M32" i="23" l="1"/>
  <c r="E9" i="23"/>
  <c r="AI39" i="29"/>
  <c r="AJ39" i="29" s="1"/>
  <c r="U39" i="29"/>
  <c r="E21" i="32"/>
  <c r="E19" i="32"/>
  <c r="O21" i="29"/>
  <c r="I116" i="26"/>
  <c r="O45" i="29" s="1"/>
  <c r="I114" i="26"/>
  <c r="I108" i="26"/>
  <c r="O44" i="29" s="1"/>
  <c r="I106" i="26"/>
  <c r="I110" i="26" s="1"/>
  <c r="O43" i="29"/>
  <c r="O42" i="29"/>
  <c r="O41" i="29"/>
  <c r="O27" i="29"/>
  <c r="O28" i="29"/>
  <c r="O26" i="29"/>
  <c r="O25" i="29"/>
  <c r="O24" i="29"/>
  <c r="D52" i="23"/>
  <c r="D44" i="23"/>
  <c r="D36" i="23"/>
  <c r="D28" i="23"/>
  <c r="I27" i="23" s="1"/>
  <c r="I118" i="26" l="1"/>
  <c r="O40" i="29" s="1"/>
  <c r="E23" i="32"/>
  <c r="E27" i="23"/>
  <c r="K27" i="23"/>
  <c r="L27" i="23" s="1"/>
  <c r="M27" i="23" s="1"/>
  <c r="K35" i="23"/>
  <c r="L35" i="23" s="1"/>
  <c r="M35" i="23" s="1"/>
  <c r="I35" i="23"/>
  <c r="O14" i="29"/>
  <c r="O15" i="29"/>
  <c r="O22" i="29"/>
  <c r="O33" i="29"/>
  <c r="O38" i="29"/>
  <c r="O10" i="29"/>
  <c r="O17" i="29"/>
  <c r="O12" i="29"/>
  <c r="O13" i="29"/>
  <c r="O20" i="29"/>
  <c r="O16" i="29"/>
  <c r="O23" i="29"/>
  <c r="O32" i="29"/>
  <c r="O37" i="29"/>
  <c r="O34" i="29"/>
  <c r="O39" i="29"/>
  <c r="O11" i="29"/>
  <c r="O18" i="29"/>
  <c r="O31" i="29"/>
  <c r="O36" i="29"/>
  <c r="O35" i="29"/>
  <c r="J51" i="23"/>
  <c r="M54" i="23"/>
  <c r="M52" i="23"/>
  <c r="E16" i="23" s="1"/>
  <c r="I43" i="23"/>
  <c r="K13" i="32"/>
  <c r="E29" i="32" s="1"/>
  <c r="O29" i="29"/>
  <c r="K11" i="32"/>
  <c r="G15" i="26"/>
  <c r="E15" i="26"/>
  <c r="G10" i="26"/>
  <c r="I51" i="23"/>
  <c r="G9" i="23"/>
  <c r="G43" i="23"/>
  <c r="F51" i="23"/>
  <c r="H43" i="23"/>
  <c r="J43" i="23"/>
  <c r="F43" i="23"/>
  <c r="K43" i="23"/>
  <c r="L43" i="23" s="1"/>
  <c r="M43" i="23" s="1"/>
  <c r="G51" i="23"/>
  <c r="K51" i="23"/>
  <c r="L51" i="23" s="1"/>
  <c r="M51" i="23" s="1"/>
  <c r="E43" i="23"/>
  <c r="H51" i="23"/>
  <c r="E51" i="23"/>
  <c r="H35" i="23"/>
  <c r="F35" i="23"/>
  <c r="J35" i="23"/>
  <c r="E35" i="23"/>
  <c r="G35" i="23"/>
  <c r="F27" i="23"/>
  <c r="J27" i="23"/>
  <c r="G27" i="23"/>
  <c r="H27" i="23"/>
  <c r="M56" i="23" l="1"/>
  <c r="K15" i="32"/>
  <c r="I10" i="26"/>
  <c r="I15" i="26"/>
  <c r="G16" i="23"/>
  <c r="V23" i="29" s="1"/>
  <c r="V25" i="29"/>
  <c r="E27" i="32"/>
  <c r="E31" i="32" s="1"/>
  <c r="T63" i="29"/>
  <c r="AI63" i="29" s="1"/>
  <c r="AB39" i="29"/>
  <c r="AC39" i="29" s="1"/>
  <c r="I9" i="23"/>
  <c r="AJ63" i="29" l="1"/>
  <c r="I16" i="23"/>
  <c r="V24" i="29" s="1"/>
  <c r="T51" i="29"/>
  <c r="AI51" i="29" s="1"/>
  <c r="X39" i="29"/>
  <c r="U63" i="29"/>
  <c r="AJ51" i="29" l="1"/>
  <c r="AD39" i="29"/>
  <c r="Y39" i="29"/>
  <c r="Z39" i="29" s="1"/>
  <c r="U51" i="29"/>
  <c r="Q38" i="29"/>
  <c r="C14" i="29"/>
  <c r="B14" i="29"/>
  <c r="G10" i="29"/>
  <c r="E10" i="29"/>
  <c r="E9" i="29"/>
  <c r="C24" i="23"/>
  <c r="T40" i="29" l="1"/>
  <c r="AI40" i="29" s="1"/>
  <c r="AF38" i="29"/>
  <c r="Q12" i="29"/>
  <c r="S12" i="29" s="1"/>
  <c r="Q15" i="29"/>
  <c r="S15" i="29" s="1"/>
  <c r="Q11" i="29"/>
  <c r="S11" i="29" s="1"/>
  <c r="Q13" i="29"/>
  <c r="S13" i="29" s="1"/>
  <c r="Q10" i="29"/>
  <c r="S10" i="29" s="1"/>
  <c r="S52" i="29"/>
  <c r="AH52" i="29" s="1"/>
  <c r="T52" i="29"/>
  <c r="AI52" i="29" s="1"/>
  <c r="Q88" i="29"/>
  <c r="U12" i="29"/>
  <c r="W12" i="29" s="1"/>
  <c r="Q14" i="29"/>
  <c r="S14" i="29" s="1"/>
  <c r="U11" i="29"/>
  <c r="W11" i="29" s="1"/>
  <c r="U14" i="29"/>
  <c r="W14" i="29" s="1"/>
  <c r="U10" i="29"/>
  <c r="W10" i="29" s="1"/>
  <c r="Q16" i="29"/>
  <c r="S16" i="29" s="1"/>
  <c r="U13" i="29"/>
  <c r="W13" i="29" s="1"/>
  <c r="AA40" i="29"/>
  <c r="T64" i="29"/>
  <c r="AI64" i="29" s="1"/>
  <c r="W40" i="29"/>
  <c r="X40" i="29"/>
  <c r="AB40" i="29"/>
  <c r="Q78" i="29"/>
  <c r="T78" i="29" s="1"/>
  <c r="Q82" i="29"/>
  <c r="Q86" i="29"/>
  <c r="S64" i="29"/>
  <c r="AH64" i="29" s="1"/>
  <c r="S40" i="29"/>
  <c r="Q81" i="29"/>
  <c r="Q85" i="29"/>
  <c r="Q79" i="29"/>
  <c r="Q83" i="29"/>
  <c r="Q87" i="29"/>
  <c r="Q80" i="29"/>
  <c r="Q84" i="29"/>
  <c r="T41" i="29" l="1"/>
  <c r="AI41" i="29" s="1"/>
  <c r="AJ52" i="29"/>
  <c r="AJ64" i="29"/>
  <c r="S41" i="29"/>
  <c r="AH41" i="29" s="1"/>
  <c r="AH40" i="29"/>
  <c r="AJ40" i="29" s="1"/>
  <c r="S53" i="29"/>
  <c r="AH53" i="29" s="1"/>
  <c r="W41" i="29"/>
  <c r="Y40" i="29"/>
  <c r="Z40" i="29" s="1"/>
  <c r="T13" i="29"/>
  <c r="X13" i="29"/>
  <c r="S65" i="29"/>
  <c r="T53" i="29"/>
  <c r="AI53" i="29" s="1"/>
  <c r="AB41" i="29"/>
  <c r="AB42" i="29" s="1"/>
  <c r="T65" i="29"/>
  <c r="U40" i="29"/>
  <c r="AA41" i="29"/>
  <c r="X41" i="29"/>
  <c r="X10" i="29"/>
  <c r="X14" i="29"/>
  <c r="T14" i="29"/>
  <c r="X12" i="29"/>
  <c r="X11" i="29"/>
  <c r="T15" i="29"/>
  <c r="T12" i="29"/>
  <c r="T10" i="29"/>
  <c r="T11" i="29"/>
  <c r="T16" i="29"/>
  <c r="U52" i="29"/>
  <c r="U64" i="29"/>
  <c r="AC40" i="29"/>
  <c r="T79" i="29"/>
  <c r="S78" i="29"/>
  <c r="S79" i="29"/>
  <c r="V51" i="29"/>
  <c r="V63" i="29"/>
  <c r="U78" i="29"/>
  <c r="V39" i="29"/>
  <c r="AJ41" i="29" l="1"/>
  <c r="AJ53" i="29"/>
  <c r="S66" i="29"/>
  <c r="AH66" i="29" s="1"/>
  <c r="AH65" i="29"/>
  <c r="T66" i="29"/>
  <c r="AI65" i="29"/>
  <c r="U41" i="29"/>
  <c r="S54" i="29"/>
  <c r="Y41" i="29"/>
  <c r="W42" i="29"/>
  <c r="W43" i="29" s="1"/>
  <c r="W44" i="29" s="1"/>
  <c r="W45" i="29" s="1"/>
  <c r="AA42" i="29"/>
  <c r="AA43" i="29" s="1"/>
  <c r="AA44" i="29" s="1"/>
  <c r="AA45" i="29" s="1"/>
  <c r="AC41" i="29"/>
  <c r="S80" i="29"/>
  <c r="V40" i="29"/>
  <c r="T42" i="29"/>
  <c r="AI42" i="29" s="1"/>
  <c r="AB43" i="29"/>
  <c r="AB44" i="29" s="1"/>
  <c r="U53" i="29"/>
  <c r="T54" i="29"/>
  <c r="X42" i="29"/>
  <c r="S42" i="29"/>
  <c r="U79" i="29"/>
  <c r="U65" i="29"/>
  <c r="V78" i="29"/>
  <c r="AD40" i="29"/>
  <c r="T80" i="29"/>
  <c r="V52" i="29"/>
  <c r="V64" i="29"/>
  <c r="S67" i="29" l="1"/>
  <c r="S68" i="29" s="1"/>
  <c r="S55" i="29"/>
  <c r="AH54" i="29"/>
  <c r="T55" i="29"/>
  <c r="AI55" i="29" s="1"/>
  <c r="AI54" i="29"/>
  <c r="AJ65" i="29"/>
  <c r="T67" i="29"/>
  <c r="AI67" i="29" s="1"/>
  <c r="AI66" i="29"/>
  <c r="AJ66" i="29" s="1"/>
  <c r="V41" i="29"/>
  <c r="U66" i="29"/>
  <c r="S43" i="29"/>
  <c r="AH43" i="29" s="1"/>
  <c r="AH42" i="29"/>
  <c r="AJ42" i="29" s="1"/>
  <c r="T43" i="29"/>
  <c r="AI43" i="29" s="1"/>
  <c r="U80" i="29"/>
  <c r="AB45" i="29"/>
  <c r="AB46" i="29" s="1"/>
  <c r="AB47" i="29" s="1"/>
  <c r="T81" i="29"/>
  <c r="U54" i="29"/>
  <c r="AA46" i="29"/>
  <c r="AA47" i="29" s="1"/>
  <c r="AA48" i="29" s="1"/>
  <c r="W46" i="29"/>
  <c r="W47" i="29" s="1"/>
  <c r="X43" i="29"/>
  <c r="AD41" i="29"/>
  <c r="AC44" i="29"/>
  <c r="AC42" i="29"/>
  <c r="S81" i="29"/>
  <c r="U42" i="29"/>
  <c r="AC43" i="29"/>
  <c r="V53" i="29"/>
  <c r="V79" i="29"/>
  <c r="V65" i="29"/>
  <c r="AH67" i="29" l="1"/>
  <c r="AJ67" i="29" s="1"/>
  <c r="AJ43" i="29"/>
  <c r="S56" i="29"/>
  <c r="AH55" i="29"/>
  <c r="AJ55" i="29" s="1"/>
  <c r="S69" i="29"/>
  <c r="AH69" i="29" s="1"/>
  <c r="AH68" i="29"/>
  <c r="T56" i="29"/>
  <c r="AI56" i="29" s="1"/>
  <c r="U67" i="29"/>
  <c r="U55" i="29"/>
  <c r="AJ54" i="29"/>
  <c r="T68" i="29"/>
  <c r="V80" i="29"/>
  <c r="T44" i="29"/>
  <c r="AD42" i="29"/>
  <c r="AD43" i="29" s="1"/>
  <c r="AD44" i="29" s="1"/>
  <c r="W48" i="29"/>
  <c r="W49" i="29" s="1"/>
  <c r="AB48" i="29"/>
  <c r="AB49" i="29" s="1"/>
  <c r="X44" i="29"/>
  <c r="X45" i="29" s="1"/>
  <c r="X46" i="29" s="1"/>
  <c r="AA49" i="29"/>
  <c r="S44" i="29"/>
  <c r="AH44" i="29" s="1"/>
  <c r="S82" i="29"/>
  <c r="T82" i="29"/>
  <c r="U81" i="29"/>
  <c r="V42" i="29"/>
  <c r="U43" i="29"/>
  <c r="V54" i="29"/>
  <c r="V66" i="29"/>
  <c r="AH56" i="29" l="1"/>
  <c r="AJ56" i="29" s="1"/>
  <c r="S57" i="29"/>
  <c r="S70" i="29"/>
  <c r="T57" i="29"/>
  <c r="AI57" i="29" s="1"/>
  <c r="T45" i="29"/>
  <c r="AI44" i="29"/>
  <c r="T69" i="29"/>
  <c r="T70" i="29" s="1"/>
  <c r="AI70" i="29" s="1"/>
  <c r="AI68" i="29"/>
  <c r="V67" i="29"/>
  <c r="U68" i="29"/>
  <c r="T83" i="29"/>
  <c r="X47" i="29"/>
  <c r="X48" i="29" s="1"/>
  <c r="Y48" i="29" s="1"/>
  <c r="S45" i="29"/>
  <c r="U44" i="29"/>
  <c r="AC47" i="29"/>
  <c r="AC45" i="29"/>
  <c r="AD45" i="29" s="1"/>
  <c r="V43" i="29"/>
  <c r="S83" i="29"/>
  <c r="V81" i="29"/>
  <c r="U82" i="29"/>
  <c r="U56" i="29"/>
  <c r="W50" i="29"/>
  <c r="V55" i="29"/>
  <c r="AH70" i="29" l="1"/>
  <c r="AJ70" i="29" s="1"/>
  <c r="S71" i="29"/>
  <c r="S58" i="29"/>
  <c r="AH58" i="29" s="1"/>
  <c r="AH57" i="29"/>
  <c r="AJ57" i="29" s="1"/>
  <c r="T58" i="29"/>
  <c r="AI58" i="29" s="1"/>
  <c r="U57" i="29"/>
  <c r="T84" i="29"/>
  <c r="V68" i="29"/>
  <c r="U69" i="29"/>
  <c r="AJ68" i="29"/>
  <c r="AI69" i="29"/>
  <c r="AJ69" i="29" s="1"/>
  <c r="T71" i="29"/>
  <c r="AI71" i="29" s="1"/>
  <c r="AJ44" i="29"/>
  <c r="T46" i="29"/>
  <c r="AI45" i="29"/>
  <c r="S46" i="29"/>
  <c r="AH46" i="29" s="1"/>
  <c r="AH45" i="29"/>
  <c r="V44" i="29"/>
  <c r="X49" i="29"/>
  <c r="X50" i="29" s="1"/>
  <c r="AC46" i="29"/>
  <c r="AD46" i="29" s="1"/>
  <c r="AD47" i="29" s="1"/>
  <c r="AB50" i="29"/>
  <c r="V56" i="29"/>
  <c r="S84" i="29"/>
  <c r="V82" i="29"/>
  <c r="U83" i="29"/>
  <c r="U45" i="29"/>
  <c r="U70" i="29"/>
  <c r="S85" i="29" l="1"/>
  <c r="AJ58" i="29"/>
  <c r="V69" i="29"/>
  <c r="V70" i="29" s="1"/>
  <c r="S59" i="29"/>
  <c r="T85" i="29"/>
  <c r="T59" i="29"/>
  <c r="AI59" i="29" s="1"/>
  <c r="AH71" i="29"/>
  <c r="AJ71" i="29" s="1"/>
  <c r="S72" i="29"/>
  <c r="AJ45" i="29"/>
  <c r="U71" i="29"/>
  <c r="AI46" i="29"/>
  <c r="T47" i="29"/>
  <c r="T86" i="29" s="1"/>
  <c r="T72" i="29"/>
  <c r="U46" i="29"/>
  <c r="S47" i="29"/>
  <c r="V83" i="29"/>
  <c r="AC48" i="29"/>
  <c r="AD48" i="29" s="1"/>
  <c r="V45" i="29"/>
  <c r="U84" i="29"/>
  <c r="AC49" i="29"/>
  <c r="AA50" i="29"/>
  <c r="U58" i="29"/>
  <c r="V57" i="29"/>
  <c r="T60" i="29" l="1"/>
  <c r="AI60" i="29" s="1"/>
  <c r="V71" i="29"/>
  <c r="S73" i="29"/>
  <c r="AH73" i="29" s="1"/>
  <c r="AH72" i="29"/>
  <c r="S60" i="29"/>
  <c r="AH59" i="29"/>
  <c r="AJ59" i="29" s="1"/>
  <c r="AI72" i="29"/>
  <c r="T73" i="29"/>
  <c r="AI73" i="29" s="1"/>
  <c r="U72" i="29"/>
  <c r="AJ46" i="29"/>
  <c r="T48" i="29"/>
  <c r="T87" i="29" s="1"/>
  <c r="AI47" i="29"/>
  <c r="V46" i="29"/>
  <c r="S48" i="29"/>
  <c r="AH47" i="29"/>
  <c r="V84" i="29"/>
  <c r="V58" i="29"/>
  <c r="U85" i="29"/>
  <c r="U47" i="29"/>
  <c r="S86" i="29"/>
  <c r="U59" i="29"/>
  <c r="AD49" i="29"/>
  <c r="AD50" i="29" s="1"/>
  <c r="AC50" i="29"/>
  <c r="AH74" i="29" l="1"/>
  <c r="T61" i="29"/>
  <c r="AI61" i="29" s="1"/>
  <c r="AI62" i="29" s="1"/>
  <c r="V72" i="29"/>
  <c r="AJ72" i="29"/>
  <c r="S74" i="29"/>
  <c r="V85" i="29"/>
  <c r="AJ47" i="29"/>
  <c r="S61" i="29"/>
  <c r="AH61" i="29" s="1"/>
  <c r="AH60" i="29"/>
  <c r="AJ60" i="29" s="1"/>
  <c r="T74" i="29"/>
  <c r="U73" i="29"/>
  <c r="W23" i="29" s="1"/>
  <c r="T49" i="29"/>
  <c r="AI49" i="29" s="1"/>
  <c r="AI48" i="29"/>
  <c r="S35" i="29"/>
  <c r="AJ73" i="29"/>
  <c r="AI74" i="29"/>
  <c r="S49" i="29"/>
  <c r="AH49" i="29" s="1"/>
  <c r="AH48" i="29"/>
  <c r="V59" i="29"/>
  <c r="U48" i="29"/>
  <c r="S87" i="29"/>
  <c r="V47" i="29"/>
  <c r="U86" i="29"/>
  <c r="U60" i="29"/>
  <c r="AJ74" i="29" l="1"/>
  <c r="T88" i="29"/>
  <c r="AJ61" i="29"/>
  <c r="X24" i="29" s="1"/>
  <c r="T62" i="29"/>
  <c r="S34" i="29"/>
  <c r="X23" i="29"/>
  <c r="U61" i="29"/>
  <c r="V33" i="29" s="1"/>
  <c r="AJ48" i="29"/>
  <c r="AJ49" i="29"/>
  <c r="AH62" i="29"/>
  <c r="AJ62" i="29" s="1"/>
  <c r="V32" i="29"/>
  <c r="V26" i="29"/>
  <c r="V29" i="29" s="1"/>
  <c r="V73" i="29"/>
  <c r="U74" i="29"/>
  <c r="T50" i="29"/>
  <c r="AI50" i="29"/>
  <c r="S33" i="29"/>
  <c r="AH50" i="29"/>
  <c r="S50" i="29"/>
  <c r="V60" i="29"/>
  <c r="V86" i="29"/>
  <c r="S62" i="29"/>
  <c r="U49" i="29"/>
  <c r="W25" i="29" s="1"/>
  <c r="S88" i="29"/>
  <c r="U87" i="29"/>
  <c r="V48" i="29"/>
  <c r="Y45" i="29"/>
  <c r="Y46" i="29"/>
  <c r="Y44" i="29"/>
  <c r="Y42" i="29"/>
  <c r="Y47" i="29"/>
  <c r="Y49" i="29"/>
  <c r="Y43" i="29"/>
  <c r="X25" i="29" l="1"/>
  <c r="R27" i="29" s="1"/>
  <c r="V27" i="29"/>
  <c r="V30" i="29" s="1"/>
  <c r="V61" i="29"/>
  <c r="W24" i="29"/>
  <c r="U62" i="29"/>
  <c r="AJ50" i="29"/>
  <c r="V28" i="29"/>
  <c r="V34" i="29"/>
  <c r="R30" i="29" s="1"/>
  <c r="V87" i="29"/>
  <c r="U50" i="29"/>
  <c r="U88" i="29"/>
  <c r="V49" i="29"/>
  <c r="Z41" i="29"/>
  <c r="Z42" i="29" s="1"/>
  <c r="Z43" i="29" s="1"/>
  <c r="Y50" i="29"/>
  <c r="Z44" i="29" l="1"/>
  <c r="Z45" i="29" s="1"/>
  <c r="Z46" i="29" s="1"/>
  <c r="Z47" i="29" s="1"/>
  <c r="R28" i="29"/>
  <c r="V31" i="29"/>
  <c r="R29" i="29" s="1"/>
  <c r="V50" i="29"/>
  <c r="V88" i="29"/>
  <c r="Z48" i="29" l="1"/>
  <c r="Z49" i="29" s="1"/>
  <c r="Z50" i="29" l="1"/>
</calcChain>
</file>

<file path=xl/sharedStrings.xml><?xml version="1.0" encoding="utf-8"?>
<sst xmlns="http://schemas.openxmlformats.org/spreadsheetml/2006/main" count="894" uniqueCount="404">
  <si>
    <t>Issue</t>
  </si>
  <si>
    <t>Data</t>
  </si>
  <si>
    <t>Best Case</t>
  </si>
  <si>
    <t>Average Case</t>
  </si>
  <si>
    <t>Year</t>
  </si>
  <si>
    <t>IRR</t>
  </si>
  <si>
    <t>Worst Case</t>
  </si>
  <si>
    <t>Algorithm</t>
  </si>
  <si>
    <t>NPV</t>
  </si>
  <si>
    <t>ROI</t>
  </si>
  <si>
    <t>Best case</t>
  </si>
  <si>
    <t>Worst case</t>
  </si>
  <si>
    <t>Average case</t>
  </si>
  <si>
    <t>Improved resource consumption</t>
  </si>
  <si>
    <t>Increased speed of operations</t>
  </si>
  <si>
    <t>New products/ services</t>
  </si>
  <si>
    <t>New business models</t>
  </si>
  <si>
    <t xml:space="preserve">Improvements of existing products/ services </t>
  </si>
  <si>
    <t>Higher margins</t>
  </si>
  <si>
    <t>Improved customer retention</t>
  </si>
  <si>
    <t>Opportunity</t>
  </si>
  <si>
    <t>Exploration phase</t>
  </si>
  <si>
    <t>Data preprocessing phase</t>
  </si>
  <si>
    <t>Model creation phase</t>
  </si>
  <si>
    <t>Deployment phase</t>
  </si>
  <si>
    <t>Pre-exploration phase</t>
  </si>
  <si>
    <t>Operation phase</t>
  </si>
  <si>
    <t xml:space="preserve">Aim for a pragmatic approach: Think about high level benefits that can be expected through the use case. Filling out financial numbers is not expected yet. </t>
  </si>
  <si>
    <t xml:space="preserve">First indications about technical feasibility and development efforts should be assessable by now. Based on these insights, refine assumptions from the previous phase. </t>
  </si>
  <si>
    <t xml:space="preserve">The model is created/ chosen, trained and evaluated. This provides insights on the model's performance, which can influence expected benefits. Thus, sharpen the assumptions and try to translate them into financial benefit. </t>
  </si>
  <si>
    <t xml:space="preserve">The main value drivers and cost components should be known and initially derived by now. Sharpen the financial numbers based on insights on the use case's actual performance once it is deployed, as well as efforts for maintaining it. </t>
  </si>
  <si>
    <t xml:space="preserve">Data availability, quality and further efforts should become aparent in this phase and offer insights on opportunities to be exploited through the use case. Refine the assumptions and try to derive first financial numbers. </t>
  </si>
  <si>
    <t>When the use case has been in operation for some time, actual effects on the return can be derived. Use these insights to sharpen the assumptions and financial numbers to track the use case's performance</t>
  </si>
  <si>
    <t xml:space="preserve">Risk reduction </t>
  </si>
  <si>
    <t>Based on insights generated in the PoC development, refine all relevant dimensions. Derive as many financial measures as possible from the assumptions. Based on this assessment, decide on deployment options.</t>
  </si>
  <si>
    <t>Post-MVP/ Pre- depl. assessment</t>
  </si>
  <si>
    <t>Link</t>
  </si>
  <si>
    <t>Cost reductions through lower cost digital channels, empowering agents with a knowledge assistant, and enabling self-service for employees and customers. This improves the company's customer experience by providing digital-first experiences and new innovations.</t>
  </si>
  <si>
    <t>Owner / Contact person</t>
  </si>
  <si>
    <t>Phase</t>
  </si>
  <si>
    <t>PERFORMANCE</t>
  </si>
  <si>
    <t>SALARIES</t>
  </si>
  <si>
    <t>VALUE GENERATION GUIDE</t>
  </si>
  <si>
    <t>Guiding questions</t>
  </si>
  <si>
    <t>Calculation approach for cost savings</t>
  </si>
  <si>
    <t>Calculation approach for profit</t>
  </si>
  <si>
    <t>Area</t>
  </si>
  <si>
    <t>Best case1</t>
  </si>
  <si>
    <t>Best case2</t>
  </si>
  <si>
    <t>Best case3</t>
  </si>
  <si>
    <t>Best case4</t>
  </si>
  <si>
    <t>Best case5</t>
  </si>
  <si>
    <t>Best case6</t>
  </si>
  <si>
    <t>Best case7</t>
  </si>
  <si>
    <t>Best case8</t>
  </si>
  <si>
    <t>Best case9</t>
  </si>
  <si>
    <t>Best case10</t>
  </si>
  <si>
    <t>Best case0</t>
  </si>
  <si>
    <t>Average case0</t>
  </si>
  <si>
    <t>Average case1</t>
  </si>
  <si>
    <t>Average case2</t>
  </si>
  <si>
    <t>Average case3</t>
  </si>
  <si>
    <t>Average case4</t>
  </si>
  <si>
    <t>Average case5</t>
  </si>
  <si>
    <t>Average case6</t>
  </si>
  <si>
    <t>Average case7</t>
  </si>
  <si>
    <t>Average case8</t>
  </si>
  <si>
    <t>Average case9</t>
  </si>
  <si>
    <t>Average case10</t>
  </si>
  <si>
    <t>Worst case0</t>
  </si>
  <si>
    <t>Worst case1</t>
  </si>
  <si>
    <t>Worst case2</t>
  </si>
  <si>
    <t>Worst case3</t>
  </si>
  <si>
    <t>Worst case4</t>
  </si>
  <si>
    <t>Worst case5</t>
  </si>
  <si>
    <t>Worst case6</t>
  </si>
  <si>
    <t>Worst case7</t>
  </si>
  <si>
    <t>Worst case8</t>
  </si>
  <si>
    <t>Worst case9</t>
  </si>
  <si>
    <t>Worst case10</t>
  </si>
  <si>
    <t>Cash inflow</t>
  </si>
  <si>
    <t>Cash Outflow</t>
  </si>
  <si>
    <t>Cashflow</t>
  </si>
  <si>
    <t>Cumulative Cashflow</t>
  </si>
  <si>
    <t>YPWorst case</t>
  </si>
  <si>
    <t>YPAverage case</t>
  </si>
  <si>
    <t>YPBest case</t>
  </si>
  <si>
    <t>NPVWorst case</t>
  </si>
  <si>
    <t>NPVAverage case</t>
  </si>
  <si>
    <t>ROIWorst case</t>
  </si>
  <si>
    <t>ROIAverage case</t>
  </si>
  <si>
    <t>ROIBest case</t>
  </si>
  <si>
    <t>IRRWorst case</t>
  </si>
  <si>
    <t>IRRAverage case</t>
  </si>
  <si>
    <t>IRRBest case</t>
  </si>
  <si>
    <t>YP</t>
  </si>
  <si>
    <t>NPVBest case</t>
  </si>
  <si>
    <t>Total</t>
  </si>
  <si>
    <t>-</t>
  </si>
  <si>
    <t>NPV Outflow Best case</t>
  </si>
  <si>
    <t>NPV Outflow Average case</t>
  </si>
  <si>
    <t>NPV Outflow Worst case</t>
  </si>
  <si>
    <t>Radio buttons controls</t>
  </si>
  <si>
    <t>Assessment main metrics</t>
  </si>
  <si>
    <t>Assessment metrics calculations</t>
  </si>
  <si>
    <t>Assessment chart calculations</t>
  </si>
  <si>
    <t>Assessment chart input</t>
  </si>
  <si>
    <t>User story</t>
  </si>
  <si>
    <t>Use case ID</t>
  </si>
  <si>
    <t>Project name</t>
  </si>
  <si>
    <t>Internal value driver</t>
  </si>
  <si>
    <t>External value driver</t>
  </si>
  <si>
    <t>Contact name</t>
  </si>
  <si>
    <t>Use case family</t>
  </si>
  <si>
    <t>VALUE DRIVERS</t>
  </si>
  <si>
    <t>Description</t>
  </si>
  <si>
    <t xml:space="preserve">Reduction of manual effort (Automatization)	</t>
  </si>
  <si>
    <t xml:space="preserve">Increased speed of operations	</t>
  </si>
  <si>
    <t xml:space="preserve">Improved access to information/ decision making	</t>
  </si>
  <si>
    <t>Improved customer retention.</t>
  </si>
  <si>
    <t>Resource expenditure for current process (time)</t>
  </si>
  <si>
    <t>x</t>
  </si>
  <si>
    <t>Reduction of effort through use cases (in %)</t>
  </si>
  <si>
    <t>Resource exp. for current process (amount of material)</t>
  </si>
  <si>
    <t>Addressed KPI</t>
  </si>
  <si>
    <t>Identified opportunities through use case (in %)</t>
  </si>
  <si>
    <t>Realized opportunity (reduction, uplift) through use case (in %)</t>
  </si>
  <si>
    <t>Value at risk (in €)</t>
  </si>
  <si>
    <t>Probability of risk occurrence (in %)</t>
  </si>
  <si>
    <t>Risk reduction through use case (in %)</t>
  </si>
  <si>
    <t>Current profit (in €)</t>
  </si>
  <si>
    <t>+</t>
  </si>
  <si>
    <t>Profit per product/ service sold (in €)</t>
  </si>
  <si>
    <t xml:space="preserve">Serviceable obtainable market (SOM) </t>
  </si>
  <si>
    <t>Current volume (in units)</t>
  </si>
  <si>
    <t xml:space="preserve">Margin increase achieved through use case (in %) </t>
  </si>
  <si>
    <t>Average value of customers lost (in €)</t>
  </si>
  <si>
    <t>Increase in customer retention (in %)</t>
  </si>
  <si>
    <t>Internal value generation</t>
  </si>
  <si>
    <t>External value generation</t>
  </si>
  <si>
    <t xml:space="preserve">Margin before _x000D_
use case/ unit (in €) </t>
  </si>
  <si>
    <t xml:space="preserve">Margin increase achieved through improvement _x000D_
(in %) </t>
  </si>
  <si>
    <t>Click to choose an internal value driver</t>
  </si>
  <si>
    <t>Click to choose an external value driver</t>
  </si>
  <si>
    <t>Confidence about assumptions</t>
  </si>
  <si>
    <t>2 - Little confidence about assumptions</t>
  </si>
  <si>
    <t>4 - Confident about assumptions</t>
  </si>
  <si>
    <t>5 - Very confident about assumptions</t>
  </si>
  <si>
    <t>or</t>
  </si>
  <si>
    <t>Final costs</t>
  </si>
  <si>
    <t>Single cost block</t>
  </si>
  <si>
    <t>Customer service improvements through chatbot</t>
  </si>
  <si>
    <t>Cashflow (BC)</t>
  </si>
  <si>
    <t>Cumulative Cashflow (BC)</t>
  </si>
  <si>
    <t>Cashflow (AC)</t>
  </si>
  <si>
    <t>Cumulative Cashflow (AC)</t>
  </si>
  <si>
    <t>Cashflow (WC)</t>
  </si>
  <si>
    <t>Cumulative Cashflow (WC)</t>
  </si>
  <si>
    <t>Cash inflow (Best case)</t>
  </si>
  <si>
    <t>Cash inflow (Average case)</t>
  </si>
  <si>
    <t>Cash inflow (Worst case)</t>
  </si>
  <si>
    <t>1. Product development</t>
  </si>
  <si>
    <t>2. Supply chain management &amp; manufacturing</t>
  </si>
  <si>
    <t>2.1 Logistics network, warehouse, and inventory optimization</t>
  </si>
  <si>
    <t>1.1 Product development cycle optimization</t>
  </si>
  <si>
    <t>1.2 Product feature optimization</t>
  </si>
  <si>
    <t>2.2 Predictive maintenance</t>
  </si>
  <si>
    <t>2.4 Sales &amp; demand forecasting</t>
  </si>
  <si>
    <t>3. Marketing &amp; sales</t>
  </si>
  <si>
    <t>3.1 Channel management</t>
  </si>
  <si>
    <t>3.2 Customer acquisition / lead generation</t>
  </si>
  <si>
    <t>3.3 Marketing budget allocation</t>
  </si>
  <si>
    <t>3.4 Next product to buy / personalized offering</t>
  </si>
  <si>
    <t>3.5 Pricing &amp; promotion</t>
  </si>
  <si>
    <t>4. Other operations</t>
  </si>
  <si>
    <t>4.1 Workforce productivity &amp; efficiency</t>
  </si>
  <si>
    <t>6. HR</t>
  </si>
  <si>
    <t>6.1 Hiring &amp; retention</t>
  </si>
  <si>
    <t>5. Finance &amp; IT</t>
  </si>
  <si>
    <t>5.1 Accounting</t>
  </si>
  <si>
    <t>5.2 Risk modelling</t>
  </si>
  <si>
    <t>5.3 Smart CapEx</t>
  </si>
  <si>
    <t>Cost of mistakes</t>
  </si>
  <si>
    <t>Costs Pie charts</t>
  </si>
  <si>
    <t>I1Average case</t>
  </si>
  <si>
    <t>I2Average case</t>
  </si>
  <si>
    <t>I3Average case</t>
  </si>
  <si>
    <t>I4Average case</t>
  </si>
  <si>
    <t>I5Average case</t>
  </si>
  <si>
    <t>I6Average case</t>
  </si>
  <si>
    <t>I7Average case</t>
  </si>
  <si>
    <t>I1Best case</t>
  </si>
  <si>
    <t>I2Best case</t>
  </si>
  <si>
    <t>I3Best case</t>
  </si>
  <si>
    <t>I4Best case</t>
  </si>
  <si>
    <t>I5Best case</t>
  </si>
  <si>
    <t>I6Best case</t>
  </si>
  <si>
    <t>I7Best case</t>
  </si>
  <si>
    <t>I1Worst case</t>
  </si>
  <si>
    <t>I2Worst case</t>
  </si>
  <si>
    <t>I3Worst case</t>
  </si>
  <si>
    <t>I4Worst case</t>
  </si>
  <si>
    <t>I5Worst case</t>
  </si>
  <si>
    <t>I6Worst case</t>
  </si>
  <si>
    <t>I7Worst case</t>
  </si>
  <si>
    <t>M1Best case</t>
  </si>
  <si>
    <t>M2Best case</t>
  </si>
  <si>
    <t>M3Best case</t>
  </si>
  <si>
    <t>M4Best case</t>
  </si>
  <si>
    <t>M5Best case</t>
  </si>
  <si>
    <t>M1Average case</t>
  </si>
  <si>
    <t>M2Average case</t>
  </si>
  <si>
    <t>M3Average case</t>
  </si>
  <si>
    <t>M4Average case</t>
  </si>
  <si>
    <t>M5Average case</t>
  </si>
  <si>
    <t>M1Worst case</t>
  </si>
  <si>
    <t>M2Worst case</t>
  </si>
  <si>
    <t>M3Worst case</t>
  </si>
  <si>
    <t>M4Worst case</t>
  </si>
  <si>
    <t>M5Worst case</t>
  </si>
  <si>
    <t>Deployment</t>
  </si>
  <si>
    <t>Software engineering</t>
  </si>
  <si>
    <t>Miscellaneous</t>
  </si>
  <si>
    <t>Cost</t>
  </si>
  <si>
    <t>Investment area</t>
  </si>
  <si>
    <t>investment pie chart</t>
  </si>
  <si>
    <t>Maintenance pie chart</t>
  </si>
  <si>
    <t>Maintenance area</t>
  </si>
  <si>
    <t>%</t>
  </si>
  <si>
    <t>Fixed investment costs</t>
  </si>
  <si>
    <t>Monthly miscellaneous costs</t>
  </si>
  <si>
    <t>Maximum development time in months</t>
  </si>
  <si>
    <t>Predicted class</t>
  </si>
  <si>
    <t>class = yes</t>
  </si>
  <si>
    <t>class = no</t>
  </si>
  <si>
    <t>Actual event</t>
  </si>
  <si>
    <t>True Positives (TP)</t>
  </si>
  <si>
    <t>False Negatives (FN)</t>
  </si>
  <si>
    <t>False Positives (FP)</t>
  </si>
  <si>
    <t>True Negatives (TN)</t>
  </si>
  <si>
    <t xml:space="preserve">Based on the numbers per output category, the performance of the algorithm can be calculated by expressing its accuracy: </t>
  </si>
  <si>
    <t>Prediction cases</t>
  </si>
  <si>
    <t>First value driver</t>
  </si>
  <si>
    <t>Second value driver</t>
  </si>
  <si>
    <r>
      <t xml:space="preserve">Time horizon
</t>
    </r>
    <r>
      <rPr>
        <sz val="12"/>
        <color theme="0" tint="-0.499984740745262"/>
        <rFont val="Arial"/>
        <family val="2"/>
        <scheme val="major"/>
      </rPr>
      <t>(For ROI evaluation)</t>
    </r>
  </si>
  <si>
    <r>
      <t xml:space="preserve">Discount rate
</t>
    </r>
    <r>
      <rPr>
        <sz val="12"/>
        <color theme="0" tint="-0.499984740745262"/>
        <rFont val="Arial"/>
        <family val="2"/>
        <scheme val="major"/>
      </rPr>
      <t>(For NPV calculation)</t>
    </r>
  </si>
  <si>
    <r>
      <t xml:space="preserve">Highest model performance
</t>
    </r>
    <r>
      <rPr>
        <sz val="12"/>
        <color theme="0" tint="-0.499984740745262"/>
        <rFont val="Arial"/>
        <family val="2"/>
        <scheme val="major"/>
      </rPr>
      <t>(Assumptions)</t>
    </r>
  </si>
  <si>
    <r>
      <t xml:space="preserve">Required model performance
</t>
    </r>
    <r>
      <rPr>
        <sz val="12"/>
        <color theme="0" tint="-0.499984740745262"/>
        <rFont val="Arial"/>
        <family val="2"/>
        <scheme val="major"/>
      </rPr>
      <t>(Assumptions)</t>
    </r>
  </si>
  <si>
    <r>
      <t xml:space="preserve">Mean model performance
</t>
    </r>
    <r>
      <rPr>
        <sz val="12"/>
        <color theme="0" tint="-0.499984740745262"/>
        <rFont val="Arial"/>
        <family val="2"/>
        <scheme val="major"/>
      </rPr>
      <t>(Assumptions)</t>
    </r>
  </si>
  <si>
    <r>
      <t xml:space="preserve">Machine Learning Engineer
</t>
    </r>
    <r>
      <rPr>
        <sz val="12"/>
        <color theme="0" tint="-0.499984740745262"/>
        <rFont val="Arial"/>
        <family val="2"/>
        <scheme val="major"/>
      </rPr>
      <t>(ø yearly salary)</t>
    </r>
  </si>
  <si>
    <r>
      <t xml:space="preserve">Data Scientist
</t>
    </r>
    <r>
      <rPr>
        <sz val="12"/>
        <color theme="0" tint="-0.499984740745262"/>
        <rFont val="Arial"/>
        <family val="2"/>
        <scheme val="major"/>
      </rPr>
      <t>(ø yearly salary)</t>
    </r>
  </si>
  <si>
    <r>
      <t xml:space="preserve">Software Engineer
</t>
    </r>
    <r>
      <rPr>
        <sz val="12"/>
        <color theme="0" tint="-0.499984740745262"/>
        <rFont val="Arial"/>
        <family val="2"/>
        <scheme val="major"/>
      </rPr>
      <t>(ø yearly salary)</t>
    </r>
  </si>
  <si>
    <r>
      <t xml:space="preserve">Internal value generation
</t>
    </r>
    <r>
      <rPr>
        <sz val="12"/>
        <color theme="0" tint="-0.499984740745262"/>
        <rFont val="Arial"/>
        <family val="2"/>
        <scheme val="major"/>
      </rPr>
      <t>(Total cost savings per year)</t>
    </r>
  </si>
  <si>
    <r>
      <t xml:space="preserve">External value generation
</t>
    </r>
    <r>
      <rPr>
        <sz val="12"/>
        <color theme="0" tint="-0.499984740745262"/>
        <rFont val="Arial"/>
        <family val="2"/>
        <scheme val="major"/>
      </rPr>
      <t>(Total profit per year)</t>
    </r>
  </si>
  <si>
    <r>
      <t xml:space="preserve">Value drivers
</t>
    </r>
    <r>
      <rPr>
        <sz val="12"/>
        <color rgb="FF000000"/>
        <rFont val="Arial"/>
        <family val="2"/>
        <scheme val="major"/>
      </rPr>
      <t>(McKinsey)</t>
    </r>
  </si>
  <si>
    <r>
      <t xml:space="preserve">Cost estimation
</t>
    </r>
    <r>
      <rPr>
        <sz val="12"/>
        <color rgb="FF000000"/>
        <rFont val="Arial"/>
        <family val="2"/>
        <scheme val="major"/>
      </rPr>
      <t>(AWS)</t>
    </r>
  </si>
  <si>
    <r>
      <t xml:space="preserve">Cost estimation
</t>
    </r>
    <r>
      <rPr>
        <sz val="12"/>
        <color rgb="FF000000"/>
        <rFont val="Arial"/>
        <family val="2"/>
        <scheme val="major"/>
      </rPr>
      <t>(CloudStorage)</t>
    </r>
  </si>
  <si>
    <r>
      <t xml:space="preserve">Cost estimation
</t>
    </r>
    <r>
      <rPr>
        <sz val="12"/>
        <color rgb="FF000000"/>
        <rFont val="Arial"/>
        <family val="2"/>
        <scheme val="major"/>
      </rPr>
      <t>(Google)</t>
    </r>
  </si>
  <si>
    <r>
      <t xml:space="preserve">Cost estimation
</t>
    </r>
    <r>
      <rPr>
        <sz val="12"/>
        <color rgb="FF000000"/>
        <rFont val="Arial"/>
        <family val="2"/>
        <scheme val="major"/>
      </rPr>
      <t>(Microsoft/Azure)</t>
    </r>
  </si>
  <si>
    <r>
      <t xml:space="preserve">Cost estimation
</t>
    </r>
    <r>
      <rPr>
        <sz val="12"/>
        <color rgb="FF000000"/>
        <rFont val="Arial"/>
        <family val="2"/>
        <scheme val="major"/>
      </rPr>
      <t>(Nvidia)</t>
    </r>
  </si>
  <si>
    <r>
      <t xml:space="preserve">Economic impact
</t>
    </r>
    <r>
      <rPr>
        <sz val="12"/>
        <color rgb="FF000000"/>
        <rFont val="Arial"/>
        <family val="2"/>
        <scheme val="major"/>
      </rPr>
      <t>(IBM)</t>
    </r>
  </si>
  <si>
    <r>
      <rPr>
        <b/>
        <sz val="11"/>
        <color theme="1" tint="0.34998626667073579"/>
        <rFont val="Arial"/>
        <family val="2"/>
        <scheme val="major"/>
      </rPr>
      <t>Accuracy</t>
    </r>
    <r>
      <rPr>
        <sz val="11"/>
        <color theme="1" tint="0.34998626667073579"/>
        <rFont val="Arial"/>
        <family val="2"/>
        <scheme val="major"/>
      </rPr>
      <t xml:space="preserve"> = (TP+TN)/(TP+FP+FN+TN)</t>
    </r>
  </si>
  <si>
    <t xml:space="preserve">Data availability, quality and further efforts should become apparent in this phase and offer insights on opportunities to be exploited through the use case. Refine the assumptions and try to derive first financial numbers. </t>
  </si>
  <si>
    <t xml:space="preserve">Data on previous conversations between customers and customer-service staff, answers for FAQs, etc. </t>
  </si>
  <si>
    <t xml:space="preserve">Vast majority of current customer service staff can be retrained and relocated, since chatbot handles most inquiries. Edge cases that cannot be handled by the conversational AI are routed to human customer-service employees. </t>
  </si>
  <si>
    <r>
      <rPr>
        <sz val="12"/>
        <color rgb="FF17948C"/>
        <rFont val="Arial"/>
        <family val="2"/>
        <scheme val="major"/>
      </rPr>
      <t>Enhanced components design and features selection/revised product development:</t>
    </r>
    <r>
      <rPr>
        <i/>
        <sz val="12"/>
        <color rgb="FF17948C"/>
        <rFont val="Arial"/>
        <family val="2"/>
        <scheme val="major"/>
      </rPr>
      <t xml:space="preserve"> Improved fit to customer expectations</t>
    </r>
  </si>
  <si>
    <r>
      <rPr>
        <sz val="12"/>
        <color rgb="FF17948C"/>
        <rFont val="Arial"/>
        <family val="2"/>
        <scheme val="major"/>
      </rPr>
      <t xml:space="preserve">Demand forecasting rate of fulfillment forecasting (for each product part) based on historical sales data: </t>
    </r>
    <r>
      <rPr>
        <i/>
        <sz val="12"/>
        <color rgb="FF17948C"/>
        <rFont val="Arial"/>
        <family val="2"/>
        <scheme val="major"/>
      </rPr>
      <t>Optimized plant utilization (e.g., setting the right layouts and production lines).</t>
    </r>
  </si>
  <si>
    <r>
      <rPr>
        <sz val="12"/>
        <color rgb="FF17948C"/>
        <rFont val="Arial"/>
        <family val="2"/>
        <scheme val="major"/>
      </rPr>
      <t xml:space="preserve">Adjustment of production and supply chains: </t>
    </r>
    <r>
      <rPr>
        <i/>
        <sz val="12"/>
        <color rgb="FF17948C"/>
        <rFont val="Arial"/>
        <family val="2"/>
        <scheme val="major"/>
      </rPr>
      <t xml:space="preserve">Minimization of utilities and raw-material spend.
</t>
    </r>
    <r>
      <rPr>
        <sz val="12"/>
        <color rgb="FF17948C"/>
        <rFont val="Arial"/>
        <family val="2"/>
        <scheme val="major"/>
      </rPr>
      <t xml:space="preserve">Leverage of two-pillar overall-equipment-effectiveness methodology: </t>
    </r>
    <r>
      <rPr>
        <i/>
        <sz val="12"/>
        <color rgb="FF17948C"/>
        <rFont val="Arial"/>
        <family val="2"/>
        <scheme val="major"/>
      </rPr>
      <t xml:space="preserve">Identification and reduction of loss buckets.
</t>
    </r>
    <r>
      <rPr>
        <sz val="12"/>
        <color rgb="FF17948C"/>
        <rFont val="Arial"/>
        <family val="2"/>
        <scheme val="major"/>
      </rPr>
      <t xml:space="preserve">Prioritized production flow: </t>
    </r>
    <r>
      <rPr>
        <i/>
        <sz val="12"/>
        <color rgb="FF17948C"/>
        <rFont val="Arial"/>
        <family val="2"/>
        <scheme val="major"/>
      </rPr>
      <t>Optimized processing time, maximization of factory utilization.</t>
    </r>
  </si>
  <si>
    <r>
      <rPr>
        <sz val="12"/>
        <color rgb="FF17948C"/>
        <rFont val="Arial"/>
        <family val="2"/>
        <scheme val="major"/>
      </rPr>
      <t xml:space="preserve">Granular analysis of serviceable available market / total available market by micromarkets: </t>
    </r>
    <r>
      <rPr>
        <i/>
        <sz val="12"/>
        <color rgb="FF17948C"/>
        <rFont val="Arial"/>
        <family val="2"/>
        <scheme val="major"/>
      </rPr>
      <t xml:space="preserve">Improved coverage.
</t>
    </r>
    <r>
      <rPr>
        <sz val="12"/>
        <color rgb="FF17948C"/>
        <rFont val="Arial"/>
        <family val="2"/>
        <scheme val="major"/>
      </rPr>
      <t xml:space="preserve">Mining of quoting and transaction history: </t>
    </r>
    <r>
      <rPr>
        <i/>
        <sz val="12"/>
        <color rgb="FF17948C"/>
        <rFont val="Arial"/>
        <family val="2"/>
        <scheme val="major"/>
      </rPr>
      <t>Identification of bundles for sales/channel to sell.</t>
    </r>
  </si>
  <si>
    <r>
      <rPr>
        <sz val="12"/>
        <color rgb="FF17948C"/>
        <rFont val="Arial"/>
        <family val="2"/>
        <scheme val="major"/>
      </rPr>
      <t>Marketing-mix modeling:</t>
    </r>
    <r>
      <rPr>
        <i/>
        <sz val="12"/>
        <color rgb="FF17948C"/>
        <rFont val="Arial"/>
        <family val="2"/>
        <scheme val="major"/>
      </rPr>
      <t xml:space="preserve"> Maximization of return on investment on media spend across channels.</t>
    </r>
  </si>
  <si>
    <r>
      <rPr>
        <sz val="12"/>
        <color rgb="FF17948C"/>
        <rFont val="Arial"/>
        <family val="2"/>
        <scheme val="major"/>
      </rPr>
      <t>Analysis of past purchase history, sales interaction, and profile data:</t>
    </r>
    <r>
      <rPr>
        <i/>
        <sz val="12"/>
        <color rgb="FF17948C"/>
        <rFont val="Arial"/>
        <family val="2"/>
        <scheme val="major"/>
      </rPr>
      <t xml:space="preserve"> Identification of willingness to buy additional products and services; cross-sales of product upgrades and maintenance.</t>
    </r>
  </si>
  <si>
    <r>
      <rPr>
        <sz val="12"/>
        <color rgb="FF17948C"/>
        <rFont val="Arial"/>
        <family val="2"/>
        <scheme val="major"/>
      </rPr>
      <t>Customized value propositions and product experiences:</t>
    </r>
    <r>
      <rPr>
        <i/>
        <sz val="12"/>
        <color rgb="FF17948C"/>
        <rFont val="Arial"/>
        <family val="2"/>
        <scheme val="major"/>
      </rPr>
      <t xml:space="preserve"> Increased conversions (for dealerships).
</t>
    </r>
    <r>
      <rPr>
        <sz val="12"/>
        <color rgb="FF17948C"/>
        <rFont val="Arial"/>
        <family val="2"/>
        <scheme val="major"/>
      </rPr>
      <t>Dynamic pricing based on customer characteristics:</t>
    </r>
    <r>
      <rPr>
        <i/>
        <sz val="12"/>
        <color rgb="FF17948C"/>
        <rFont val="Arial"/>
        <family val="2"/>
        <scheme val="major"/>
      </rPr>
      <t xml:space="preserve"> Capitalization on demand and profit maximization.</t>
    </r>
  </si>
  <si>
    <r>
      <rPr>
        <sz val="12"/>
        <color rgb="FF17948C"/>
        <rFont val="Arial"/>
        <family val="2"/>
        <scheme val="major"/>
      </rPr>
      <t>Deployment of digital performance-management solution:</t>
    </r>
    <r>
      <rPr>
        <i/>
        <sz val="12"/>
        <color rgb="FF17948C"/>
        <rFont val="Arial"/>
        <family val="2"/>
        <scheme val="major"/>
      </rPr>
      <t xml:space="preserve"> Improved team collaboration and efficiency.
</t>
    </r>
    <r>
      <rPr>
        <sz val="12"/>
        <color rgb="FF17948C"/>
        <rFont val="Arial"/>
        <family val="2"/>
        <scheme val="major"/>
      </rPr>
      <t>Optimized field-force scheduling/AI-based performance-management solution:</t>
    </r>
    <r>
      <rPr>
        <i/>
        <sz val="12"/>
        <color rgb="FF17948C"/>
        <rFont val="Arial"/>
        <family val="2"/>
        <scheme val="major"/>
      </rPr>
      <t xml:space="preserve"> Increased equipment utilization.
</t>
    </r>
    <r>
      <rPr>
        <sz val="12"/>
        <color rgb="FF17948C"/>
        <rFont val="Arial"/>
        <family val="2"/>
        <scheme val="major"/>
      </rPr>
      <t>Utilization of bots to provide first-level support and answer most frequently asked questions via phone, email, and chat:</t>
    </r>
    <r>
      <rPr>
        <i/>
        <sz val="12"/>
        <color rgb="FF17948C"/>
        <rFont val="Arial"/>
        <family val="2"/>
        <scheme val="major"/>
      </rPr>
      <t xml:space="preserve"> Increased cost effectiveness and customer satisfaction.</t>
    </r>
  </si>
  <si>
    <r>
      <rPr>
        <sz val="12"/>
        <color rgb="FF17948C"/>
        <rFont val="Arial"/>
        <family val="2"/>
        <scheme val="major"/>
      </rPr>
      <t>Intelligent document recognition:</t>
    </r>
    <r>
      <rPr>
        <i/>
        <sz val="12"/>
        <color rgb="FF17948C"/>
        <rFont val="Arial"/>
        <family val="2"/>
        <scheme val="major"/>
      </rPr>
      <t xml:space="preserve"> Automated document sorting and extraction processes.
</t>
    </r>
    <r>
      <rPr>
        <sz val="12"/>
        <color rgb="FF17948C"/>
        <rFont val="Arial"/>
        <family val="2"/>
        <scheme val="major"/>
      </rPr>
      <t xml:space="preserve">Short-listing of accounts per segment most likely to pay and prediction of change in timing of invoice fulfillment: </t>
    </r>
    <r>
      <rPr>
        <i/>
        <sz val="12"/>
        <color rgb="FF17948C"/>
        <rFont val="Arial"/>
        <family val="2"/>
        <scheme val="major"/>
      </rPr>
      <t>Optimized accounts-receivable management.</t>
    </r>
  </si>
  <si>
    <r>
      <rPr>
        <sz val="12"/>
        <color rgb="FF17948C"/>
        <rFont val="Arial"/>
        <family val="2"/>
        <scheme val="major"/>
      </rPr>
      <t>Better identification of audit cases, prediction of insolvency events, and targeting of inspections:</t>
    </r>
    <r>
      <rPr>
        <i/>
        <sz val="12"/>
        <color rgb="FF17948C"/>
        <rFont val="Arial"/>
        <family val="2"/>
        <scheme val="major"/>
      </rPr>
      <t xml:space="preserve"> Avoidance of capital losses.</t>
    </r>
  </si>
  <si>
    <r>
      <rPr>
        <sz val="12"/>
        <color rgb="FF17948C"/>
        <rFont val="Arial"/>
        <family val="2"/>
        <scheme val="major"/>
      </rPr>
      <t>Integration of BI, CRM, ERP, procurement and planning systems:</t>
    </r>
    <r>
      <rPr>
        <i/>
        <sz val="12"/>
        <color rgb="FF17948C"/>
        <rFont val="Arial"/>
        <family val="2"/>
        <scheme val="major"/>
      </rPr>
      <t xml:space="preserve"> Optimized capital expenditure.</t>
    </r>
  </si>
  <si>
    <r>
      <rPr>
        <sz val="12"/>
        <color rgb="FF17948C"/>
        <rFont val="Arial"/>
        <family val="2"/>
        <scheme val="major"/>
      </rPr>
      <t xml:space="preserve">Analysis of baseline behavior (user accounts, endpoint, servers) and identification of anomalous behavior that might signal a zero-day unknown attack: </t>
    </r>
    <r>
      <rPr>
        <i/>
        <sz val="12"/>
        <color rgb="FF17948C"/>
        <rFont val="Arial"/>
        <family val="2"/>
        <scheme val="major"/>
      </rPr>
      <t>Protection from cybersecurity risks and follow-on costs.</t>
    </r>
  </si>
  <si>
    <r>
      <rPr>
        <sz val="12"/>
        <color rgb="FF17948C"/>
        <rFont val="Arial"/>
        <family val="2"/>
        <scheme val="major"/>
      </rPr>
      <t>Automatic screening of resumes and selection of top candidates:</t>
    </r>
    <r>
      <rPr>
        <i/>
        <sz val="12"/>
        <color rgb="FF17948C"/>
        <rFont val="Arial"/>
        <family val="2"/>
        <scheme val="major"/>
      </rPr>
      <t xml:space="preserve"> Increased cost efficiency and candidate satisfaction.
</t>
    </r>
    <r>
      <rPr>
        <sz val="12"/>
        <color rgb="FF17948C"/>
        <rFont val="Arial"/>
        <family val="2"/>
        <scheme val="major"/>
      </rPr>
      <t>Identification of factors influencing employee churn, and piloting of intervention strategies:</t>
    </r>
    <r>
      <rPr>
        <i/>
        <sz val="12"/>
        <color rgb="FF17948C"/>
        <rFont val="Arial"/>
        <family val="2"/>
        <scheme val="major"/>
      </rPr>
      <t xml:space="preserve"> Increased employee motivation and satisfaction.
</t>
    </r>
    <r>
      <rPr>
        <sz val="12"/>
        <color rgb="FF17948C"/>
        <rFont val="Arial"/>
        <family val="2"/>
        <scheme val="major"/>
      </rPr>
      <t>Identification of key drivers of employee performance, and spotting employees with high likelihood of success:</t>
    </r>
    <r>
      <rPr>
        <i/>
        <sz val="12"/>
        <color rgb="FF17948C"/>
        <rFont val="Arial"/>
        <family val="2"/>
        <scheme val="major"/>
      </rPr>
      <t xml:space="preserve"> Increased employee performance and satisfaction.</t>
    </r>
  </si>
  <si>
    <t>A01</t>
  </si>
  <si>
    <t xml:space="preserve">   4. Deployment</t>
  </si>
  <si>
    <t xml:space="preserve">   5. Software engineering</t>
  </si>
  <si>
    <t xml:space="preserve">   7. Miscellaneous</t>
  </si>
  <si>
    <t xml:space="preserve">   5. Miscellaneous
</t>
  </si>
  <si>
    <t>E-mail</t>
  </si>
  <si>
    <t>Choose a role</t>
  </si>
  <si>
    <t>Machine Learning Engineer</t>
  </si>
  <si>
    <t>Best case (in days)</t>
  </si>
  <si>
    <t>Worst case (in days)</t>
  </si>
  <si>
    <t>Average case (in days)</t>
  </si>
  <si>
    <t>Data Scientist</t>
  </si>
  <si>
    <t>Software Engineer</t>
  </si>
  <si>
    <t>Direct labor costs</t>
  </si>
  <si>
    <t>Indirect labor costs/non-wage costs (%)</t>
  </si>
  <si>
    <t>Total labor costs</t>
  </si>
  <si>
    <r>
      <t xml:space="preserve">AI Strategist/Business Analyst
</t>
    </r>
    <r>
      <rPr>
        <sz val="12"/>
        <color theme="0" tint="-0.499984740745262"/>
        <rFont val="Arial"/>
        <family val="2"/>
        <scheme val="major"/>
      </rPr>
      <t>(ø yearly salary)</t>
    </r>
  </si>
  <si>
    <t>AI Strategist/Business Analyst</t>
  </si>
  <si>
    <r>
      <t xml:space="preserve">2.3 Procurement &amp; </t>
    </r>
    <r>
      <rPr>
        <sz val="12"/>
        <color theme="1"/>
        <rFont val="Arial (Headings)"/>
      </rPr>
      <t>spend</t>
    </r>
    <r>
      <rPr>
        <sz val="12"/>
        <color rgb="FF000000"/>
        <rFont val="Arial"/>
        <family val="2"/>
        <scheme val="major"/>
      </rPr>
      <t xml:space="preserve"> analytics</t>
    </r>
  </si>
  <si>
    <t>OR</t>
  </si>
  <si>
    <r>
      <t xml:space="preserve">Conversational AI can create various outputs: providing agents with potential answers for customers, responding directly to customer inquiries, </t>
    </r>
    <r>
      <rPr>
        <sz val="12"/>
        <color theme="1" tint="0.34998626667073579"/>
        <rFont val="Arial (Headings)"/>
      </rPr>
      <t xml:space="preserve">recognizing and routing edge cases to customer service, and answering </t>
    </r>
    <r>
      <rPr>
        <sz val="12"/>
        <color theme="1" tint="0.34998626667073579"/>
        <rFont val="Arial"/>
        <family val="2"/>
        <scheme val="major"/>
      </rPr>
      <t>employee questions.</t>
    </r>
  </si>
  <si>
    <r>
      <t xml:space="preserve">The chatbot allows users to interact with business systems using natural human language. Application areas </t>
    </r>
    <r>
      <rPr>
        <sz val="12"/>
        <color theme="1" tint="0.34998626667073579"/>
        <rFont val="Arial (Headings)"/>
      </rPr>
      <t>include</t>
    </r>
    <r>
      <rPr>
        <sz val="12"/>
        <color theme="1" tint="0.34998626667073579"/>
        <rFont val="Arial"/>
        <family val="2"/>
        <scheme val="major"/>
      </rPr>
      <t xml:space="preserve"> assisting agents, customer self-service or employee self-service. </t>
    </r>
  </si>
  <si>
    <r>
      <t xml:space="preserve">The minimum required performance </t>
    </r>
    <r>
      <rPr>
        <sz val="12"/>
        <color theme="1" tint="0.34998626667073579"/>
        <rFont val="Arial (Headings)"/>
      </rPr>
      <t>needs to facilitate</t>
    </r>
    <r>
      <rPr>
        <sz val="12"/>
        <color theme="1" tint="0.34998626667073579"/>
        <rFont val="Arial"/>
        <family val="2"/>
        <scheme val="major"/>
      </rPr>
      <t xml:space="preserve"> at least one step of </t>
    </r>
    <r>
      <rPr>
        <sz val="12"/>
        <color theme="1" tint="0.34998626667073579"/>
        <rFont val="Arial (Headings)"/>
      </rPr>
      <t>the</t>
    </r>
    <r>
      <rPr>
        <sz val="12"/>
        <color theme="1" tint="0.34998626667073579"/>
        <rFont val="Arial"/>
        <family val="2"/>
        <scheme val="major"/>
      </rPr>
      <t xml:space="preserve"> current customer service processes. Such an improvement could </t>
    </r>
    <r>
      <rPr>
        <sz val="12"/>
        <color theme="1" tint="0.34998626667073579"/>
        <rFont val="Arial (Headings)"/>
      </rPr>
      <t>include</t>
    </r>
    <r>
      <rPr>
        <sz val="12"/>
        <color theme="1" tint="0.34998626667073579"/>
        <rFont val="Arial"/>
        <family val="2"/>
        <scheme val="major"/>
      </rPr>
      <t xml:space="preserve"> </t>
    </r>
    <r>
      <rPr>
        <sz val="12"/>
        <color theme="1" tint="0.34998626667073579"/>
        <rFont val="Arial (Headings)"/>
      </rPr>
      <t>routing</t>
    </r>
    <r>
      <rPr>
        <sz val="12"/>
        <color theme="1" tint="0.34998626667073579"/>
        <rFont val="Arial"/>
        <family val="2"/>
        <scheme val="major"/>
      </rPr>
      <t xml:space="preserve"> incoming customer calls directly to the right customer service employee or </t>
    </r>
    <r>
      <rPr>
        <sz val="12"/>
        <color theme="1" tint="0.34998626667073579"/>
        <rFont val="Arial (Headings)"/>
      </rPr>
      <t>providing</t>
    </r>
    <r>
      <rPr>
        <sz val="12"/>
        <color theme="1" tint="0.34998626667073579"/>
        <rFont val="Arial"/>
        <family val="2"/>
        <scheme val="major"/>
      </rPr>
      <t xml:space="preserve"> suggestions for answers to frequently asked questions.</t>
    </r>
  </si>
  <si>
    <r>
      <t>Since the exact performance of the final model cannot be known yet, it will be assumed that the expected performance and functions will be somewhere between the upper and lower bounds (i.e.</t>
    </r>
    <r>
      <rPr>
        <i/>
        <sz val="12"/>
        <color rgb="FF17948C"/>
        <rFont val="Arial (Headings)"/>
      </rPr>
      <t xml:space="preserve">, </t>
    </r>
    <r>
      <rPr>
        <i/>
        <sz val="12"/>
        <color rgb="FF17948C"/>
        <rFont val="Arial"/>
        <family val="2"/>
        <scheme val="major"/>
      </rPr>
      <t>the system will not work completely perfectly</t>
    </r>
    <r>
      <rPr>
        <i/>
        <sz val="12"/>
        <color rgb="FF17948C"/>
        <rFont val="Arial (Headings)"/>
      </rPr>
      <t xml:space="preserve">; however, </t>
    </r>
    <r>
      <rPr>
        <i/>
        <sz val="12"/>
        <color rgb="FF17948C"/>
        <rFont val="Arial"/>
        <family val="2"/>
        <scheme val="major"/>
      </rPr>
      <t xml:space="preserve">it </t>
    </r>
    <r>
      <rPr>
        <i/>
        <sz val="12"/>
        <color rgb="FF17948C"/>
        <rFont val="Arial (Headings)"/>
      </rPr>
      <t>will do</t>
    </r>
    <r>
      <rPr>
        <i/>
        <sz val="12"/>
        <color rgb="FF17948C"/>
        <rFont val="Arial"/>
        <family val="2"/>
        <scheme val="major"/>
      </rPr>
      <t xml:space="preserve"> a better job than merely </t>
    </r>
    <r>
      <rPr>
        <i/>
        <sz val="12"/>
        <color rgb="FF17948C"/>
        <rFont val="Arial (Headings)"/>
      </rPr>
      <t>fulfill</t>
    </r>
    <r>
      <rPr>
        <i/>
        <sz val="12"/>
        <color rgb="FF17948C"/>
        <rFont val="Arial"/>
        <family val="2"/>
        <scheme val="major"/>
      </rPr>
      <t xml:space="preserve"> the minimum quality requirem</t>
    </r>
    <r>
      <rPr>
        <i/>
        <sz val="12"/>
        <color rgb="FF17948C"/>
        <rFont val="Arial (Headings)"/>
      </rPr>
      <t>ents). What</t>
    </r>
    <r>
      <rPr>
        <i/>
        <sz val="12"/>
        <color rgb="FF17948C"/>
        <rFont val="Arial"/>
        <family val="2"/>
        <scheme val="major"/>
      </rPr>
      <t xml:space="preserve"> implications would </t>
    </r>
    <r>
      <rPr>
        <i/>
        <sz val="12"/>
        <color rgb="FF17948C"/>
        <rFont val="Arial (Headings)"/>
      </rPr>
      <t>this</t>
    </r>
    <r>
      <rPr>
        <i/>
        <sz val="12"/>
        <color rgb="FF17948C"/>
        <rFont val="Arial"/>
        <family val="2"/>
        <scheme val="major"/>
      </rPr>
      <t xml:space="preserve"> have for your business? What would you be able to do differently compared to today?</t>
    </r>
  </si>
  <si>
    <r>
      <t>Assume you have developed the system you just described, but unfortunately it does not work was well as expected. What would be the absolute minimum quality that the system would need to achieve to be of use, i.e.</t>
    </r>
    <r>
      <rPr>
        <i/>
        <sz val="12"/>
        <color rgb="FF17948C"/>
        <rFont val="Arial (Headings)"/>
      </rPr>
      <t xml:space="preserve">, so that </t>
    </r>
    <r>
      <rPr>
        <i/>
        <sz val="12"/>
        <color rgb="FF17948C"/>
        <rFont val="Arial"/>
        <family val="2"/>
        <scheme val="major"/>
      </rPr>
      <t xml:space="preserve">you would use it instead of not using it. </t>
    </r>
    <r>
      <rPr>
        <i/>
        <sz val="12"/>
        <color rgb="FF17948C"/>
        <rFont val="Arial (Headings)"/>
      </rPr>
      <t>What</t>
    </r>
    <r>
      <rPr>
        <i/>
        <sz val="12"/>
        <color rgb="FF17948C"/>
        <rFont val="Arial"/>
        <family val="2"/>
        <scheme val="major"/>
      </rPr>
      <t xml:space="preserve"> implications would </t>
    </r>
    <r>
      <rPr>
        <i/>
        <sz val="12"/>
        <color rgb="FF17948C"/>
        <rFont val="Arial (Headings)"/>
      </rPr>
      <t>this</t>
    </r>
    <r>
      <rPr>
        <i/>
        <sz val="12"/>
        <color rgb="FF17948C"/>
        <rFont val="Arial"/>
        <family val="2"/>
        <scheme val="major"/>
      </rPr>
      <t xml:space="preserve"> have for your business? What would you be able to do differently compared to today?</t>
    </r>
  </si>
  <si>
    <r>
      <rPr>
        <i/>
        <sz val="12"/>
        <color rgb="FF17948C"/>
        <rFont val="Arial (Headings)"/>
      </rPr>
      <t>If</t>
    </r>
    <r>
      <rPr>
        <i/>
        <sz val="12"/>
        <color rgb="FF17948C"/>
        <rFont val="Arial"/>
        <family val="2"/>
        <scheme val="major"/>
      </rPr>
      <t xml:space="preserve"> your algorithm works perfectly </t>
    </r>
    <r>
      <rPr>
        <i/>
        <sz val="12"/>
        <color rgb="FF17948C"/>
        <rFont val="Arial (Headings)"/>
      </rPr>
      <t>(m</t>
    </r>
    <r>
      <rPr>
        <i/>
        <sz val="12"/>
        <color rgb="FF17948C"/>
        <rFont val="Arial"/>
        <family val="2"/>
        <scheme val="major"/>
      </rPr>
      <t xml:space="preserve">eaning there are no misclassifications, every prediction is completely correct, there are no false </t>
    </r>
    <r>
      <rPr>
        <i/>
        <sz val="12"/>
        <color rgb="FF17948C"/>
        <rFont val="Arial (Headings)"/>
      </rPr>
      <t>alarms, etc.),</t>
    </r>
    <r>
      <rPr>
        <i/>
        <sz val="12"/>
        <color rgb="FF17948C"/>
        <rFont val="Arial"/>
        <family val="2"/>
        <scheme val="major"/>
      </rPr>
      <t xml:space="preserve"> </t>
    </r>
    <r>
      <rPr>
        <i/>
        <sz val="12"/>
        <color rgb="FF17948C"/>
        <rFont val="Arial (Headings)"/>
      </rPr>
      <t>what</t>
    </r>
    <r>
      <rPr>
        <i/>
        <sz val="12"/>
        <color rgb="FF17948C"/>
        <rFont val="Arial"/>
        <family val="2"/>
        <scheme val="major"/>
      </rPr>
      <t xml:space="preserve"> implications would </t>
    </r>
    <r>
      <rPr>
        <i/>
        <sz val="12"/>
        <color rgb="FF17948C"/>
        <rFont val="Arial (Headings)"/>
      </rPr>
      <t>this</t>
    </r>
    <r>
      <rPr>
        <i/>
        <sz val="12"/>
        <color rgb="FF17948C"/>
        <rFont val="Arial"/>
        <family val="2"/>
        <scheme val="major"/>
      </rPr>
      <t xml:space="preserve"> have for your business? What would you be able to do differently compared to today?</t>
    </r>
  </si>
  <si>
    <r>
      <rPr>
        <sz val="10"/>
        <color rgb="FF17948C"/>
        <rFont val="Arial (Headings)"/>
      </rPr>
      <t>Estimated # of</t>
    </r>
    <r>
      <rPr>
        <sz val="10"/>
        <color rgb="FF17948C"/>
        <rFont val="Arial"/>
        <family val="2"/>
        <scheme val="major"/>
      </rPr>
      <t xml:space="preserve"> working days</t>
    </r>
  </si>
  <si>
    <r>
      <rPr>
        <sz val="12"/>
        <color rgb="FF17948C"/>
        <rFont val="Arial"/>
        <family val="2"/>
        <scheme val="major"/>
      </rPr>
      <t xml:space="preserve">R&amp;D benchmarking tool: </t>
    </r>
    <r>
      <rPr>
        <i/>
        <sz val="12"/>
        <color rgb="FF17948C"/>
        <rFont val="Arial"/>
        <family val="2"/>
        <scheme val="major"/>
      </rPr>
      <t xml:space="preserve">Identification of root causes of poor R&amp;D effectiveness and increased overall R&amp;D portfolio performance  (e.g., early prediction of potential successful candidates)
</t>
    </r>
    <r>
      <rPr>
        <sz val="12"/>
        <color rgb="FF17948C"/>
        <rFont val="Arial"/>
        <family val="2"/>
        <scheme val="major"/>
      </rPr>
      <t xml:space="preserve">Identification and explanation of patterns and success factors </t>
    </r>
    <r>
      <rPr>
        <sz val="12"/>
        <color rgb="FF17948C"/>
        <rFont val="Arial (Headings)"/>
      </rPr>
      <t>(e.</t>
    </r>
    <r>
      <rPr>
        <sz val="12"/>
        <color rgb="FF17948C"/>
        <rFont val="Arial"/>
        <family val="2"/>
        <scheme val="major"/>
      </rPr>
      <t>g., based on digital twin</t>
    </r>
    <r>
      <rPr>
        <sz val="12"/>
        <color rgb="FF17948C"/>
        <rFont val="Arial (Headings)"/>
      </rPr>
      <t>s)</t>
    </r>
    <r>
      <rPr>
        <sz val="12"/>
        <color rgb="FF17948C"/>
        <rFont val="Arial"/>
        <family val="2"/>
        <scheme val="major"/>
      </rPr>
      <t xml:space="preserve">: </t>
    </r>
    <r>
      <rPr>
        <i/>
        <sz val="12"/>
        <color rgb="FF17948C"/>
        <rFont val="Arial"/>
        <family val="2"/>
        <scheme val="major"/>
      </rPr>
      <t>Improved opportunities in engineering and new-product development cycles</t>
    </r>
  </si>
  <si>
    <r>
      <rPr>
        <sz val="12"/>
        <color rgb="FF17948C"/>
        <rFont val="Arial"/>
        <family val="2"/>
        <scheme val="major"/>
      </rPr>
      <t>Improved predictions of manufacturing requirements, supplier management, and identification of optimal stocking locations:</t>
    </r>
    <r>
      <rPr>
        <i/>
        <sz val="12"/>
        <color rgb="FF17948C"/>
        <rFont val="Arial"/>
        <family val="2"/>
        <scheme val="major"/>
      </rPr>
      <t xml:space="preserve"> Reduced inventory </t>
    </r>
    <r>
      <rPr>
        <i/>
        <sz val="12"/>
        <color rgb="FF17948C"/>
        <rFont val="Arial (Headings)"/>
      </rPr>
      <t>costs</t>
    </r>
    <r>
      <rPr>
        <i/>
        <sz val="12"/>
        <color rgb="FF17948C"/>
        <rFont val="Arial"/>
        <family val="2"/>
        <scheme val="major"/>
      </rPr>
      <t>, improved inventory turnover rate, enabler for lean manufacturing (just-in-time production).</t>
    </r>
  </si>
  <si>
    <r>
      <rPr>
        <sz val="12"/>
        <color rgb="FF17948C"/>
        <rFont val="Arial"/>
        <family val="2"/>
        <scheme val="major"/>
      </rPr>
      <t xml:space="preserve">Automated identification of clauses of interest (e.g., penalties, value owed) in procurement contracts: </t>
    </r>
    <r>
      <rPr>
        <i/>
        <sz val="12"/>
        <color rgb="FF17948C"/>
        <rFont val="Arial"/>
        <family val="2"/>
        <scheme val="major"/>
      </rPr>
      <t xml:space="preserve">Reduction of contractual fines, increased counterparty satisfaction.
</t>
    </r>
    <r>
      <rPr>
        <sz val="12"/>
        <color rgb="FF17948C"/>
        <rFont val="Arial"/>
        <family val="2"/>
        <scheme val="major"/>
      </rPr>
      <t xml:space="preserve">
Determination of similarity between purchased parts and comparison of procurement prices across suppliers: </t>
    </r>
    <r>
      <rPr>
        <i/>
        <sz val="12"/>
        <color rgb="FF17948C"/>
        <rFont val="Arial"/>
        <family val="2"/>
        <scheme val="major"/>
      </rPr>
      <t xml:space="preserve">Better informed negotiations, rapid repricing, global requests for quotation, and clean sheets: Decreased spend.
</t>
    </r>
    <r>
      <rPr>
        <sz val="12"/>
        <color rgb="FF17948C"/>
        <rFont val="Arial"/>
        <family val="2"/>
        <scheme val="major"/>
      </rPr>
      <t xml:space="preserve">Zero-based analysis: </t>
    </r>
    <r>
      <rPr>
        <i/>
        <sz val="12"/>
        <color rgb="FF17948C"/>
        <rFont val="Arial"/>
        <family val="2"/>
        <scheme val="major"/>
      </rPr>
      <t>Identification and plugging of sources of leakage in direct materials consumption.</t>
    </r>
  </si>
  <si>
    <r>
      <rPr>
        <sz val="12"/>
        <color rgb="FF17948C"/>
        <rFont val="Arial"/>
        <family val="2"/>
        <scheme val="major"/>
      </rPr>
      <t>Utilization of IoT data to predict equipment failures and allow for planned intervention; management of component-part life cycle through advanced analytic</t>
    </r>
    <r>
      <rPr>
        <sz val="12"/>
        <color rgb="FF17948C"/>
        <rFont val="Arial (Headings)"/>
      </rPr>
      <t>s-b</t>
    </r>
    <r>
      <rPr>
        <sz val="12"/>
        <color rgb="FF17948C"/>
        <rFont val="Arial"/>
        <family val="2"/>
        <scheme val="major"/>
      </rPr>
      <t>ased maintenance:</t>
    </r>
    <r>
      <rPr>
        <i/>
        <sz val="12"/>
        <color rgb="FF17948C"/>
        <rFont val="Arial"/>
        <family val="2"/>
        <scheme val="major"/>
      </rPr>
      <t xml:space="preserve"> Reduced downtime, maximized yield.
</t>
    </r>
    <r>
      <rPr>
        <sz val="12"/>
        <color rgb="FF17948C"/>
        <rFont val="Arial"/>
        <family val="2"/>
        <scheme val="major"/>
      </rPr>
      <t>Visual inspection through AI-powered hardware:</t>
    </r>
    <r>
      <rPr>
        <i/>
        <sz val="12"/>
        <color rgb="FF17948C"/>
        <rFont val="Arial"/>
        <family val="2"/>
        <scheme val="major"/>
      </rPr>
      <t xml:space="preserve"> Superior quality control process (increased error recognition rate), decreased consequential charges (e.g., warranties).</t>
    </r>
  </si>
  <si>
    <r>
      <rPr>
        <sz val="12"/>
        <color rgb="FF17948C"/>
        <rFont val="Arial"/>
        <family val="2"/>
        <scheme val="major"/>
      </rPr>
      <t>Optimized sales-force effort by using multiple data sources</t>
    </r>
    <r>
      <rPr>
        <i/>
        <sz val="12"/>
        <color rgb="FF17948C"/>
        <rFont val="Arial"/>
        <family val="2"/>
        <scheme val="major"/>
      </rPr>
      <t xml:space="preserve">: Better prediction of customer behavior (e.g., likelihood of contract renewal).
</t>
    </r>
    <r>
      <rPr>
        <sz val="12"/>
        <color rgb="FF17948C"/>
        <rFont val="Arial"/>
        <family val="2"/>
        <scheme val="major"/>
      </rPr>
      <t xml:space="preserve">Targeted advertisements and promotions: </t>
    </r>
    <r>
      <rPr>
        <i/>
        <sz val="12"/>
        <color rgb="FF17948C"/>
        <rFont val="Arial"/>
        <family val="2"/>
        <scheme val="major"/>
      </rPr>
      <t xml:space="preserve">Increased </t>
    </r>
    <r>
      <rPr>
        <i/>
        <sz val="12"/>
        <color rgb="FF17948C"/>
        <rFont val="Arial (Headings)"/>
      </rPr>
      <t>number</t>
    </r>
    <r>
      <rPr>
        <i/>
        <sz val="12"/>
        <color rgb="FF17948C"/>
        <rFont val="Arial"/>
        <family val="2"/>
        <scheme val="major"/>
      </rPr>
      <t xml:space="preserve"> of hot leads.</t>
    </r>
  </si>
  <si>
    <r>
      <t xml:space="preserve">Customer service struggles with routing questions efficiently to appropriate agents, high volumes of simple queries, and long response times. These factors coalesce into </t>
    </r>
    <r>
      <rPr>
        <sz val="12"/>
        <color theme="1" tint="0.34998626667073579"/>
        <rFont val="Arial (Headings)"/>
      </rPr>
      <t>a</t>
    </r>
    <r>
      <rPr>
        <sz val="12"/>
        <color theme="1" tint="0.34998626667073579"/>
        <rFont val="Arial"/>
        <family val="2"/>
        <scheme val="major"/>
      </rPr>
      <t xml:space="preserve"> poor customer and employee experience. </t>
    </r>
  </si>
  <si>
    <r>
      <t xml:space="preserve">Best case: 
- First value driver: Cost savings through improved customer service: Conversational AI can deal with many inquiries directly, thus </t>
    </r>
    <r>
      <rPr>
        <sz val="12"/>
        <color theme="0" tint="-0.499984740745262"/>
        <rFont val="Arial (Headings)"/>
      </rPr>
      <t>fewer</t>
    </r>
    <r>
      <rPr>
        <sz val="12"/>
        <color theme="0" tint="-0.499984740745262"/>
        <rFont val="Arial"/>
        <family val="2"/>
        <scheme val="major"/>
      </rPr>
      <t xml:space="preserve"> customer conversations with human employees are needed. Furthermore, conversatio</t>
    </r>
    <r>
      <rPr>
        <sz val="12"/>
        <color theme="0" tint="-0.499984740745262"/>
        <rFont val="Arial (Headings)"/>
      </rPr>
      <t>ns</t>
    </r>
    <r>
      <rPr>
        <sz val="12"/>
        <color theme="0" tint="-0.499984740745262"/>
        <rFont val="Arial"/>
        <family val="2"/>
        <scheme val="major"/>
      </rPr>
      <t xml:space="preserve"> are routed to the right employees directly, resulting in more efficient call handling. 
- Second value driver: Chatbot is extended to internal help desk inquiries concerning most (regula</t>
    </r>
    <r>
      <rPr>
        <sz val="12"/>
        <color theme="0" tint="-0.499984740745262"/>
        <rFont val="Arial (Headings)"/>
      </rPr>
      <t>r) IT</t>
    </r>
    <r>
      <rPr>
        <sz val="12"/>
        <color theme="0" tint="-0.499984740745262"/>
        <rFont val="Arial"/>
        <family val="2"/>
        <scheme val="major"/>
      </rPr>
      <t xml:space="preserve"> and HR requests. </t>
    </r>
    <r>
      <rPr>
        <sz val="12"/>
        <color theme="0" tint="-0.499984740745262"/>
        <rFont val="Arial (Headings)"/>
      </rPr>
      <t>Fewer</t>
    </r>
    <r>
      <rPr>
        <sz val="12"/>
        <color theme="0" tint="-0.499984740745262"/>
        <rFont val="Arial"/>
        <family val="2"/>
        <scheme val="major"/>
      </rPr>
      <t xml:space="preserve"> employees are required to handle internal IT &amp; HR requests.
Worst case: 
- First value driver: Only </t>
    </r>
    <r>
      <rPr>
        <sz val="12"/>
        <color theme="0" tint="-0.499984740745262"/>
        <rFont val="Arial (Headings)"/>
      </rPr>
      <t>the</t>
    </r>
    <r>
      <rPr>
        <sz val="12"/>
        <color theme="0" tint="-0.499984740745262"/>
        <rFont val="Arial"/>
        <family val="2"/>
        <scheme val="major"/>
      </rPr>
      <t xml:space="preserve"> cost savings through </t>
    </r>
    <r>
      <rPr>
        <sz val="12"/>
        <color theme="0" tint="-0.499984740745262"/>
        <rFont val="Arial (Headings)"/>
      </rPr>
      <t>fewer</t>
    </r>
    <r>
      <rPr>
        <sz val="12"/>
        <color theme="0" tint="-0.499984740745262"/>
        <rFont val="Arial"/>
        <family val="2"/>
        <scheme val="major"/>
      </rPr>
      <t xml:space="preserve"> calls handled by employees are achieved.
- Second value driver: Only the simplest IT and HR requests can be handled through the chatbot, which requires more employees than in the best case scenario. 
</t>
    </r>
  </si>
  <si>
    <r>
      <t>Best case: 
- First value driver: Throug</t>
    </r>
    <r>
      <rPr>
        <sz val="12"/>
        <color theme="0" tint="-0.499984740745262"/>
        <rFont val="Arial (Headings)"/>
      </rPr>
      <t>h imp</t>
    </r>
    <r>
      <rPr>
        <sz val="12"/>
        <color theme="0" tint="-0.499984740745262"/>
        <rFont val="Arial"/>
        <family val="2"/>
        <scheme val="major"/>
      </rPr>
      <t>roved customer service, customer retention is lowered by 5%, resulting in higher customer lifetime val</t>
    </r>
    <r>
      <rPr>
        <sz val="12"/>
        <color theme="0" tint="-0.499984740745262"/>
        <rFont val="Arial (Headings)"/>
      </rPr>
      <t xml:space="preserve">ue. </t>
    </r>
    <r>
      <rPr>
        <sz val="12"/>
        <color theme="0" tint="-0.499984740745262"/>
        <rFont val="Arial"/>
        <family val="2"/>
        <scheme val="major"/>
      </rPr>
      <t xml:space="preserve">
Worst case: 
- First value driver: Throug</t>
    </r>
    <r>
      <rPr>
        <sz val="12"/>
        <color theme="0" tint="-0.499984740745262"/>
        <rFont val="Arial (Headings)"/>
      </rPr>
      <t>h im</t>
    </r>
    <r>
      <rPr>
        <sz val="12"/>
        <color theme="0" tint="-0.499984740745262"/>
        <rFont val="Arial"/>
        <family val="2"/>
        <scheme val="major"/>
      </rPr>
      <t>proved customer service, customer retention is lowered by 1%, resulting in higher customer lifetime val</t>
    </r>
    <r>
      <rPr>
        <sz val="12"/>
        <color theme="0" tint="-0.499984740745262"/>
        <rFont val="Arial (Headings)"/>
      </rPr>
      <t>ue.</t>
    </r>
    <r>
      <rPr>
        <sz val="12"/>
        <color theme="0" tint="-0.499984740745262"/>
        <rFont val="Arial"/>
        <family val="2"/>
        <scheme val="major"/>
      </rPr>
      <t xml:space="preserve">
</t>
    </r>
  </si>
  <si>
    <r>
      <t>Manual input
(</t>
    </r>
    <r>
      <rPr>
        <sz val="10"/>
        <color rgb="FF17948C"/>
        <rFont val="Arial (Headings)"/>
      </rPr>
      <t>If used, the</t>
    </r>
    <r>
      <rPr>
        <sz val="10"/>
        <color rgb="FF17948C"/>
        <rFont val="Arial"/>
        <family val="2"/>
        <scheme val="major"/>
      </rPr>
      <t xml:space="preserve"> calculation fields on left must be blank)</t>
    </r>
  </si>
  <si>
    <r>
      <t>Manual input
(</t>
    </r>
    <r>
      <rPr>
        <sz val="10"/>
        <color rgb="FF17948C"/>
        <rFont val="Arial (Headings)"/>
      </rPr>
      <t>If used, t</t>
    </r>
    <r>
      <rPr>
        <sz val="10"/>
        <color rgb="FF17948C"/>
        <rFont val="Arial"/>
        <family val="2"/>
        <scheme val="major"/>
      </rPr>
      <t>he calculation fields on left must be blank)</t>
    </r>
  </si>
  <si>
    <r>
      <t xml:space="preserve">Worst case </t>
    </r>
    <r>
      <rPr>
        <sz val="10"/>
        <color theme="0" tint="-0.499984740745262"/>
        <rFont val="Arial (Headings)"/>
      </rPr>
      <t>(in days)</t>
    </r>
  </si>
  <si>
    <t>Cost estimation of AWS architecture solution</t>
  </si>
  <si>
    <t>Comparison and cost calculation of different cost storage solutions</t>
  </si>
  <si>
    <t>Cost calculation of Google Cloud prices</t>
  </si>
  <si>
    <r>
      <t>Potential AI value drivers based on industry and enterprise functio</t>
    </r>
    <r>
      <rPr>
        <sz val="12"/>
        <color theme="1" tint="0.34998626667073579"/>
        <rFont val="Arial (Headings)"/>
      </rPr>
      <t>ns, including esti</t>
    </r>
    <r>
      <rPr>
        <sz val="12"/>
        <color theme="1" tint="0.34998626667073579"/>
        <rFont val="Arial"/>
        <family val="2"/>
        <scheme val="major"/>
      </rPr>
      <t xml:space="preserve">mation </t>
    </r>
    <r>
      <rPr>
        <sz val="12"/>
        <color theme="1" tint="0.34998626667073579"/>
        <rFont val="Arial (Headings)"/>
      </rPr>
      <t>of</t>
    </r>
    <r>
      <rPr>
        <sz val="12"/>
        <color theme="1" tint="0.34998626667073579"/>
        <rFont val="Arial"/>
        <family val="2"/>
        <scheme val="major"/>
      </rPr>
      <t xml:space="preserve"> total value to be achieved</t>
    </r>
  </si>
  <si>
    <r>
      <t xml:space="preserve">Calculation of cost saving potentials through </t>
    </r>
    <r>
      <rPr>
        <sz val="12"/>
        <color theme="1" tint="0.34998626667073579"/>
        <rFont val="Arial (Headings)"/>
      </rPr>
      <t>use</t>
    </r>
    <r>
      <rPr>
        <sz val="12"/>
        <color theme="1" tint="0.34998626667073579"/>
        <rFont val="Arial"/>
        <family val="2"/>
        <scheme val="major"/>
      </rPr>
      <t xml:space="preserve"> of Microsoft Azure products</t>
    </r>
  </si>
  <si>
    <r>
      <t>Truetco Model: Exc</t>
    </r>
    <r>
      <rPr>
        <sz val="12"/>
        <color theme="1" tint="0.34998626667073579"/>
        <rFont val="Arial (Headings)"/>
      </rPr>
      <t>el-ba</t>
    </r>
    <r>
      <rPr>
        <sz val="12"/>
        <color theme="1" tint="0.34998626667073579"/>
        <rFont val="Arial"/>
        <family val="2"/>
        <scheme val="major"/>
      </rPr>
      <t>sed tool to calculate the total cost of ownership (TCO) of a data center</t>
    </r>
  </si>
  <si>
    <r>
      <t xml:space="preserve">Exemplary calculation of ROI, </t>
    </r>
    <r>
      <rPr>
        <sz val="12"/>
        <color theme="1" tint="0.34998626667073579"/>
        <rFont val="Arial (Headings)"/>
      </rPr>
      <t>including bre</t>
    </r>
    <r>
      <rPr>
        <sz val="12"/>
        <color theme="1" tint="0.34998626667073579"/>
        <rFont val="Arial"/>
        <family val="2"/>
        <scheme val="major"/>
      </rPr>
      <t>akdown of costs and benefits for an IBM Watson chatbot</t>
    </r>
  </si>
  <si>
    <r>
      <rPr>
        <b/>
        <sz val="12"/>
        <color theme="1"/>
        <rFont val="Arial (Headings)"/>
      </rPr>
      <t># of</t>
    </r>
    <r>
      <rPr>
        <b/>
        <sz val="12"/>
        <color theme="1"/>
        <rFont val="Arial"/>
        <family val="2"/>
        <scheme val="major"/>
      </rPr>
      <t xml:space="preserve"> employees</t>
    </r>
  </si>
  <si>
    <r>
      <t>ø Personnel cost</t>
    </r>
    <r>
      <rPr>
        <b/>
        <sz val="12"/>
        <color theme="1"/>
        <rFont val="Arial (Headings)"/>
      </rPr>
      <t>s / m</t>
    </r>
    <r>
      <rPr>
        <b/>
        <sz val="12"/>
        <color theme="1"/>
        <rFont val="Arial"/>
        <family val="2"/>
        <scheme val="major"/>
      </rPr>
      <t>onths</t>
    </r>
  </si>
  <si>
    <r>
      <t>Maximu</t>
    </r>
    <r>
      <rPr>
        <b/>
        <sz val="12"/>
        <color theme="1"/>
        <rFont val="Arial (Headings)"/>
      </rPr>
      <t>m b</t>
    </r>
    <r>
      <rPr>
        <b/>
        <sz val="12"/>
        <color theme="1"/>
        <rFont val="Arial"/>
        <family val="2"/>
        <scheme val="major"/>
      </rPr>
      <t>udget</t>
    </r>
  </si>
  <si>
    <r>
      <t xml:space="preserve">The table below shows the possible outputs that can result from a classification or clustering model. The examples help </t>
    </r>
    <r>
      <rPr>
        <i/>
        <sz val="11"/>
        <color theme="1" tint="0.34998626667073579"/>
        <rFont val="Arial (Headings)"/>
      </rPr>
      <t>clarify</t>
    </r>
    <r>
      <rPr>
        <i/>
        <sz val="11"/>
        <color theme="1" tint="0.34998626667073579"/>
        <rFont val="Arial"/>
        <family val="2"/>
        <scheme val="major"/>
      </rPr>
      <t xml:space="preserve"> the different possible outputs of </t>
    </r>
    <r>
      <rPr>
        <i/>
        <sz val="11"/>
        <color theme="1" tint="0.34998626667073579"/>
        <rFont val="Arial (Headings)"/>
      </rPr>
      <t>an</t>
    </r>
    <r>
      <rPr>
        <i/>
        <sz val="11"/>
        <color theme="1" tint="0.34998626667073579"/>
        <rFont val="Arial"/>
        <family val="2"/>
        <scheme val="major"/>
      </rPr>
      <t xml:space="preserve"> ML algorithm detecting whether legal documents </t>
    </r>
    <r>
      <rPr>
        <i/>
        <sz val="11"/>
        <color theme="1" tint="0.34998626667073579"/>
        <rFont val="Arial (Headings)"/>
      </rPr>
      <t>(e.g., passports)</t>
    </r>
    <r>
      <rPr>
        <i/>
        <sz val="11"/>
        <color theme="1" tint="0.34998626667073579"/>
        <rFont val="Arial"/>
        <family val="2"/>
        <scheme val="major"/>
      </rPr>
      <t xml:space="preserve"> were forged or not: 
</t>
    </r>
    <r>
      <rPr>
        <b/>
        <i/>
        <sz val="11"/>
        <color theme="1" tint="0.34998626667073579"/>
        <rFont val="Arial"/>
        <family val="2"/>
        <scheme val="major"/>
      </rPr>
      <t>True Positive</t>
    </r>
    <r>
      <rPr>
        <i/>
        <sz val="11"/>
        <color theme="1" tint="0.34998626667073579"/>
        <rFont val="Arial"/>
        <family val="2"/>
        <scheme val="major"/>
      </rPr>
      <t xml:space="preserve"> (TP) means that a positive event was correctly classified/clustered, e.</t>
    </r>
    <r>
      <rPr>
        <i/>
        <sz val="11"/>
        <color theme="1" tint="0.34998626667073579"/>
        <rFont val="Arial (Headings)"/>
      </rPr>
      <t>g., a</t>
    </r>
    <r>
      <rPr>
        <i/>
        <sz val="11"/>
        <color theme="1" tint="0.34998626667073579"/>
        <rFont val="Arial"/>
        <family val="2"/>
        <scheme val="major"/>
      </rPr>
      <t xml:space="preserve"> forged document was correctly recognized as a fake docume</t>
    </r>
    <r>
      <rPr>
        <i/>
        <sz val="11"/>
        <color theme="1" tint="0.34998626667073579"/>
        <rFont val="Arial (Headings)"/>
      </rPr>
      <t>nt.</t>
    </r>
    <r>
      <rPr>
        <i/>
        <sz val="11"/>
        <color theme="1" tint="0.34998626667073579"/>
        <rFont val="Arial"/>
        <family val="2"/>
        <scheme val="major"/>
      </rPr>
      <t xml:space="preserve">
</t>
    </r>
    <r>
      <rPr>
        <b/>
        <i/>
        <sz val="11"/>
        <color theme="1" tint="0.34998626667073579"/>
        <rFont val="Arial"/>
        <family val="2"/>
        <scheme val="major"/>
      </rPr>
      <t xml:space="preserve">True Negative </t>
    </r>
    <r>
      <rPr>
        <i/>
        <sz val="11"/>
        <color theme="1" tint="0.34998626667073579"/>
        <rFont val="Arial"/>
        <family val="2"/>
        <scheme val="major"/>
      </rPr>
      <t>(TN) means that a negative event was correctly classified/clustered, e.</t>
    </r>
    <r>
      <rPr>
        <i/>
        <sz val="11"/>
        <color theme="1" tint="0.34998626667073579"/>
        <rFont val="Arial (Headings)"/>
      </rPr>
      <t xml:space="preserve">g., </t>
    </r>
    <r>
      <rPr>
        <i/>
        <sz val="11"/>
        <color theme="1" tint="0.34998626667073579"/>
        <rFont val="Arial"/>
        <family val="2"/>
        <scheme val="major"/>
      </rPr>
      <t>a valid document was correctly recognized as a valid docume</t>
    </r>
    <r>
      <rPr>
        <i/>
        <sz val="11"/>
        <color theme="1" tint="0.34998626667073579"/>
        <rFont val="Arial (Headings)"/>
      </rPr>
      <t>nt.</t>
    </r>
  </si>
  <si>
    <r>
      <t xml:space="preserve">The ML application helps to support decisions </t>
    </r>
    <r>
      <rPr>
        <i/>
        <sz val="11"/>
        <color theme="1" tint="0.34998626667073579"/>
        <rFont val="Arial (Headings)"/>
      </rPr>
      <t>by</t>
    </r>
    <r>
      <rPr>
        <i/>
        <sz val="11"/>
        <color theme="1" tint="0.34998626667073579"/>
        <rFont val="Arial"/>
        <family val="2"/>
        <scheme val="major"/>
      </rPr>
      <t xml:space="preserve"> classifying data based on certain characteristics. The output here are discrete values, e.g. {true, false}, {0,1} etc.
For classification cases, the classes are pre-defined (supervised learning)</t>
    </r>
    <r>
      <rPr>
        <i/>
        <sz val="11"/>
        <color theme="1" tint="0.34998626667073579"/>
        <rFont val="Arial (Headings)"/>
      </rPr>
      <t xml:space="preserve">. In </t>
    </r>
    <r>
      <rPr>
        <i/>
        <sz val="11"/>
        <color theme="1" tint="0.34998626667073579"/>
        <rFont val="Arial"/>
        <family val="2"/>
        <scheme val="major"/>
      </rPr>
      <t>clustering cases, the ML algorithm finds the groups based on similarities in the data (unsupervised learning).</t>
    </r>
  </si>
  <si>
    <r>
      <t xml:space="preserve">In prediction cases the output of a model is typically some kind of continuous value. </t>
    </r>
    <r>
      <rPr>
        <i/>
        <sz val="11"/>
        <color theme="1" tint="0.34998626667073579"/>
        <rFont val="Arial (Headings)"/>
      </rPr>
      <t>One prominent example involves demand</t>
    </r>
    <r>
      <rPr>
        <i/>
        <sz val="11"/>
        <color theme="1" tint="0.34998626667073579"/>
        <rFont val="Arial"/>
        <family val="2"/>
        <scheme val="major"/>
      </rPr>
      <t xml:space="preserve"> planning case</t>
    </r>
    <r>
      <rPr>
        <i/>
        <sz val="11"/>
        <color theme="1" tint="0.34998626667073579"/>
        <rFont val="Arial (Headings)"/>
      </rPr>
      <t>s, w</t>
    </r>
    <r>
      <rPr>
        <i/>
        <sz val="11"/>
        <color theme="1" tint="0.34998626667073579"/>
        <rFont val="Arial"/>
        <family val="2"/>
        <scheme val="major"/>
      </rPr>
      <t xml:space="preserve">here the goal is to predict future demand based on historic data. In such cases it is obvious </t>
    </r>
    <r>
      <rPr>
        <i/>
        <sz val="11"/>
        <color theme="1" tint="0.34998626667073579"/>
        <rFont val="Arial (Headings)"/>
      </rPr>
      <t>that 100% accurate predictions are typically not possible.</t>
    </r>
  </si>
  <si>
    <r>
      <t xml:space="preserve">There is always some degree of uncertainty or "error" involved in the output of an algorithm. This "error" tends to become larger depending on factors </t>
    </r>
    <r>
      <rPr>
        <i/>
        <sz val="11"/>
        <color theme="1" tint="0.34998626667073579"/>
        <rFont val="Arial (Headings)"/>
      </rPr>
      <t>such as</t>
    </r>
    <r>
      <rPr>
        <i/>
        <sz val="11"/>
        <color theme="1" tint="0.34998626667073579"/>
        <rFont val="Arial"/>
        <family val="2"/>
        <scheme val="major"/>
      </rPr>
      <t xml:space="preserve"> the stability of demand over time or the time horizon of </t>
    </r>
    <r>
      <rPr>
        <i/>
        <sz val="11"/>
        <color theme="1" tint="0.34998626667073579"/>
        <rFont val="Arial (Headings)"/>
      </rPr>
      <t>the</t>
    </r>
    <r>
      <rPr>
        <i/>
        <sz val="11"/>
        <color theme="1" tint="0.34998626667073579"/>
        <rFont val="Arial"/>
        <family val="2"/>
        <scheme val="major"/>
      </rPr>
      <t xml:space="preserve"> prediction (</t>
    </r>
    <r>
      <rPr>
        <i/>
        <sz val="11"/>
        <color theme="1" tint="0.34998626667073579"/>
        <rFont val="Arial (Headings)"/>
      </rPr>
      <t xml:space="preserve">e.g., </t>
    </r>
    <r>
      <rPr>
        <i/>
        <sz val="11"/>
        <color theme="1" tint="0.34998626667073579"/>
        <rFont val="Arial"/>
        <family val="2"/>
        <scheme val="major"/>
      </rPr>
      <t xml:space="preserve">predicting </t>
    </r>
    <r>
      <rPr>
        <i/>
        <sz val="11"/>
        <color theme="1" tint="0.34998626667073579"/>
        <rFont val="Arial (Headings)"/>
      </rPr>
      <t>events for</t>
    </r>
    <r>
      <rPr>
        <i/>
        <sz val="11"/>
        <color theme="1" tint="0.34998626667073579"/>
        <rFont val="Arial"/>
        <family val="2"/>
        <scheme val="major"/>
      </rPr>
      <t xml:space="preserve"> the next week might be easier than predicting what will happen in five weeks).
In this case it usually makes sense to think about the accuracy or quality of </t>
    </r>
    <r>
      <rPr>
        <i/>
        <sz val="11"/>
        <color theme="1" tint="0.34998626667073579"/>
        <rFont val="Arial (Headings)"/>
      </rPr>
      <t>the</t>
    </r>
    <r>
      <rPr>
        <i/>
        <sz val="11"/>
        <color theme="1" tint="0.34998626667073579"/>
        <rFont val="Arial"/>
        <family val="2"/>
        <scheme val="major"/>
      </rPr>
      <t xml:space="preserve"> model in terms of an average error. For example, </t>
    </r>
    <r>
      <rPr>
        <i/>
        <sz val="11"/>
        <color theme="1" tint="0.34998626667073579"/>
        <rFont val="Arial (Headings)"/>
      </rPr>
      <t>one</t>
    </r>
    <r>
      <rPr>
        <i/>
        <sz val="11"/>
        <color theme="1" tint="0.34998626667073579"/>
        <rFont val="Arial"/>
        <family val="2"/>
        <scheme val="major"/>
      </rPr>
      <t xml:space="preserve"> could sa</t>
    </r>
    <r>
      <rPr>
        <i/>
        <sz val="11"/>
        <color theme="1" tint="0.34998626667073579"/>
        <rFont val="Arial (Headings)"/>
      </rPr>
      <t>y, "</t>
    </r>
    <r>
      <rPr>
        <i/>
        <sz val="11"/>
        <color theme="1" tint="0.34998626667073579"/>
        <rFont val="Arial"/>
        <family val="2"/>
        <scheme val="major"/>
      </rPr>
      <t>on average my model over- or underestimates the real demand for next week by roughly 10%</t>
    </r>
    <r>
      <rPr>
        <i/>
        <sz val="11"/>
        <color theme="1" tint="0.34998626667073579"/>
        <rFont val="Arial (Headings)"/>
      </rPr>
      <t>."</t>
    </r>
  </si>
  <si>
    <r>
      <rPr>
        <b/>
        <i/>
        <sz val="11"/>
        <color theme="1" tint="0.34998626667073579"/>
        <rFont val="Arial"/>
        <family val="2"/>
        <scheme val="major"/>
      </rPr>
      <t>False Positive</t>
    </r>
    <r>
      <rPr>
        <i/>
        <sz val="11"/>
        <color theme="1" tint="0.34998626667073579"/>
        <rFont val="Arial"/>
        <family val="2"/>
        <scheme val="major"/>
      </rPr>
      <t xml:space="preserve"> (FP) means that </t>
    </r>
    <r>
      <rPr>
        <i/>
        <sz val="11"/>
        <color theme="1" tint="0.34998626667073579"/>
        <rFont val="Arial (Headings)"/>
      </rPr>
      <t>a</t>
    </r>
    <r>
      <rPr>
        <i/>
        <sz val="11"/>
        <color theme="1" tint="0.34998626667073579"/>
        <rFont val="Arial"/>
        <family val="2"/>
        <scheme val="major"/>
      </rPr>
      <t xml:space="preserve"> negative event was falsely classified/clustered, e.</t>
    </r>
    <r>
      <rPr>
        <i/>
        <sz val="11"/>
        <color theme="1" tint="0.34998626667073579"/>
        <rFont val="Arial (Headings)"/>
      </rPr>
      <t xml:space="preserve">g., </t>
    </r>
    <r>
      <rPr>
        <i/>
        <sz val="11"/>
        <color theme="1" tint="0.34998626667073579"/>
        <rFont val="Arial"/>
        <family val="2"/>
        <scheme val="major"/>
      </rPr>
      <t xml:space="preserve">a valid document was falsely </t>
    </r>
    <r>
      <rPr>
        <i/>
        <sz val="11"/>
        <color theme="1" tint="0.34998626667073579"/>
        <rFont val="Arial (Headings)"/>
      </rPr>
      <t>categorized</t>
    </r>
    <r>
      <rPr>
        <i/>
        <sz val="11"/>
        <color theme="1" tint="0.34998626667073579"/>
        <rFont val="Arial"/>
        <family val="2"/>
        <scheme val="major"/>
      </rPr>
      <t xml:space="preserve"> as a fake docume</t>
    </r>
    <r>
      <rPr>
        <i/>
        <sz val="11"/>
        <color theme="1" tint="0.34998626667073579"/>
        <rFont val="Arial (Headings)"/>
      </rPr>
      <t>nt.</t>
    </r>
    <r>
      <rPr>
        <i/>
        <sz val="11"/>
        <color theme="1" tint="0.34998626667073579"/>
        <rFont val="Arial"/>
        <family val="2"/>
        <scheme val="major"/>
      </rPr>
      <t xml:space="preserve">
</t>
    </r>
    <r>
      <rPr>
        <b/>
        <i/>
        <sz val="11"/>
        <color theme="1" tint="0.34998626667073579"/>
        <rFont val="Arial"/>
        <family val="2"/>
        <scheme val="major"/>
      </rPr>
      <t>False Negative</t>
    </r>
    <r>
      <rPr>
        <i/>
        <sz val="11"/>
        <color theme="1" tint="0.34998626667073579"/>
        <rFont val="Arial"/>
        <family val="2"/>
        <scheme val="major"/>
      </rPr>
      <t xml:space="preserve"> (FN) means that a positive event was falsely classified/clustered, e.</t>
    </r>
    <r>
      <rPr>
        <i/>
        <sz val="11"/>
        <color theme="1" tint="0.34998626667073579"/>
        <rFont val="Arial (Headings)"/>
      </rPr>
      <t>g., a</t>
    </r>
    <r>
      <rPr>
        <i/>
        <sz val="11"/>
        <color theme="1" tint="0.34998626667073579"/>
        <rFont val="Arial"/>
        <family val="2"/>
        <scheme val="major"/>
      </rPr>
      <t xml:space="preserve"> forged document was falsely </t>
    </r>
    <r>
      <rPr>
        <i/>
        <sz val="11"/>
        <color theme="1" tint="0.34998626667073579"/>
        <rFont val="Arial (Headings)"/>
      </rPr>
      <t>categorized</t>
    </r>
    <r>
      <rPr>
        <i/>
        <sz val="11"/>
        <color theme="1" tint="0.34998626667073579"/>
        <rFont val="Arial"/>
        <family val="2"/>
        <scheme val="major"/>
      </rPr>
      <t xml:space="preserve"> as a valid docume</t>
    </r>
    <r>
      <rPr>
        <i/>
        <sz val="11"/>
        <color theme="1" tint="0.34998626667073579"/>
        <rFont val="Arial (Headings)"/>
      </rPr>
      <t>nt.</t>
    </r>
  </si>
  <si>
    <r>
      <t>Classificatio</t>
    </r>
    <r>
      <rPr>
        <b/>
        <sz val="11"/>
        <color rgb="FF17948C"/>
        <rFont val="Arial (Headings)"/>
      </rPr>
      <t xml:space="preserve">n / </t>
    </r>
    <r>
      <rPr>
        <b/>
        <sz val="11"/>
        <color rgb="FF17948C"/>
        <rFont val="Arial"/>
        <family val="2"/>
        <scheme val="major"/>
      </rPr>
      <t>clustering cases</t>
    </r>
  </si>
  <si>
    <t>Cash outflow (Best case)</t>
  </si>
  <si>
    <t>Cash outflow (Average case)</t>
  </si>
  <si>
    <t>5.4 IT-vulnerability management</t>
  </si>
  <si>
    <t>1 - Not sure at all about assumptions</t>
  </si>
  <si>
    <t>3 - Somewhat confident about assumptions</t>
  </si>
  <si>
    <t>Click to choose confidence level</t>
  </si>
  <si>
    <t>Scaling effect 
(e.g., #. of processes  etc.)</t>
  </si>
  <si>
    <t>Scaling effect 
(e.g., # of processes etc.)</t>
  </si>
  <si>
    <t>Scaling effect
 (e.g.,  additional decision)</t>
  </si>
  <si>
    <t>Scaling effect 
(e.g., additional areas where risk is apparent)</t>
  </si>
  <si>
    <t>Scaling effect (e.g., additional countries etc.)</t>
  </si>
  <si>
    <t>Scaling effect (e.g., additional products etc.)</t>
  </si>
  <si>
    <t>Cost factor 
(e.g., machine costs)</t>
  </si>
  <si>
    <t>Cost factor 
(e.g., personnel costs)</t>
  </si>
  <si>
    <t>Cost factor 
(e.g., material costs)</t>
  </si>
  <si>
    <t xml:space="preserve">Margin before 
use case / unit (in €) </t>
  </si>
  <si>
    <t>Cash outflow (Worst case)</t>
  </si>
  <si>
    <t>Cash outflow</t>
  </si>
  <si>
    <t>Current # of customers</t>
  </si>
  <si>
    <t>Scaling effect (e.g., # of persons, processes etc.)</t>
  </si>
  <si>
    <t xml:space="preserve">   1. Ideation &amp; scoping
</t>
  </si>
  <si>
    <t xml:space="preserve">   2. Exploration
</t>
  </si>
  <si>
    <t>• (Introductory AI workshop)
• Market analysis and technology evaluation
• Structured use case ideation across departments
• Definition of analysis units, prediction targets, and success criteria</t>
  </si>
  <si>
    <t xml:space="preserve">   3. Development, validation, and testing 
</t>
  </si>
  <si>
    <r>
      <t>•</t>
    </r>
    <r>
      <rPr>
        <b/>
        <i/>
        <sz val="12"/>
        <color rgb="FF17948C"/>
        <rFont val="Arial"/>
        <family val="2"/>
        <scheme val="major"/>
      </rPr>
      <t xml:space="preserve"> </t>
    </r>
    <r>
      <rPr>
        <i/>
        <sz val="12"/>
        <color rgb="FF17948C"/>
        <rFont val="Arial"/>
        <family val="2"/>
        <scheme val="major"/>
      </rPr>
      <t>Data acquisition from relevant internal (e.g., sensors, ERP systems, written notes) and external (e.g., data providers or public databases) sources
• Secure, structured, and efficient data processing (initial pipeline design) and storage management
• Exploratory data analysis; initial modelling/testing (PoC development)</t>
    </r>
  </si>
  <si>
    <t>• Data analysis, preparation, and validation (cleaning, [labeling], feature engineering)
• Model building/training, incl. decisions on architecture (environments/ workbenches) and learning (manual/ automated model building)
• Model evaluation, hyperparameter optimization
• Model selection and versioning</t>
  </si>
  <si>
    <t>• Testing (QA/ staging)
• Deployment of selected model(s) for dynamic improvement (direct/indirect), considering the invocation mode and latency requirements
• Integration into existing systems/services (embedding; inference pipeline)
• Required (personnel) changes to existing processes for the integration of AI applications</t>
  </si>
  <si>
    <t>• External service providers 
• Other factors</t>
  </si>
  <si>
    <t xml:space="preserve">   6. Required (additional) infrastructure</t>
  </si>
  <si>
    <t>• Interface/template creation 
• API development
• Other</t>
  </si>
  <si>
    <t>• Hardware costs (Cloud vs. on-premises vs. hybrid)
• Tools
• Licenses
• Other development-related infrastructure</t>
  </si>
  <si>
    <t xml:space="preserve">   1. Model monitoring/supervision, maintenance, and reporting
</t>
  </si>
  <si>
    <t xml:space="preserve">   2. (Automated) retraining
</t>
  </si>
  <si>
    <t xml:space="preserve">   3. Infrastructure management
</t>
  </si>
  <si>
    <t xml:space="preserve">   4. Incremental cost increases for rollout/scaling across processes, etc.
</t>
  </si>
  <si>
    <t>New products or services</t>
  </si>
  <si>
    <t>Improvements of existing products or services (increased customer satisf.); 
higher volume</t>
  </si>
  <si>
    <t>Improvements of existing products or services (increased customer satisf.); higher margin</t>
  </si>
  <si>
    <t>• How does the algorithm enable the creation of a new business model? How can (revenue or) profit be generated through this business model? 
• How much additional profit will be generated? 
• How does this differ depending on the performance of the algorithm?</t>
  </si>
  <si>
    <t>• Does the application improve an existing product or service? Does it, e.g., improve the quality of customer experience with the product or service? 
• How much additional sales (e.g., through cross-selling) can be generated through the improved products or services, and what is the implication on profit?
• How does this differ depending on the performance of the algorithm?</t>
  </si>
  <si>
    <t xml:space="preserve"> • Does the application improve an existing product or service? Does it, e.g., improve the quality of customer experience with the product or service? 
• How much additional profits (e.g., through incr. customers’ WTP and imposing higher sales prices) can be generated through the improved prod./ serv.?
• How does this differ depending on the performance of the algorithm?</t>
  </si>
  <si>
    <t>• Does the algorithm help the business to improve customer retention? Can more customers be convinced to return to the product or service through the algorithm? Can more customers be prevented from leaving?
• How can this be translated into additional profit? 
• How does this differ depending on the performance of the algorithm?</t>
  </si>
  <si>
    <t>Automation of (repetitive) manual and cognitive tasks</t>
  </si>
  <si>
    <t>Improved access to information / decision making</t>
  </si>
  <si>
    <t xml:space="preserve">• How does the algorithm help the business to offer a new product or service, which results in increased (revenue or) profit? 
• How much additional profit will be generated? 
• How does this differ depending on the performance of the algorithm? </t>
  </si>
  <si>
    <t xml:space="preserve">• Does the algorithm take over a task that was previously done by a human or another machine? 
• How much time was previously spent on the task, and how costly was that time? How much money can be saved per event through the algorithm? 
• How does this differ depending on the performance of the algorithm? </t>
  </si>
  <si>
    <t xml:space="preserve">• Does the algorithm improve resource consumption? How much can be saved per event through data-based, improved resource consumption?
• How does, e.g., the reject rate, differ in the case of quality assessment before and after application of the algorithm? 
• How does this differ depending on the performance of the algorithm? </t>
  </si>
  <si>
    <t xml:space="preserve">• Does the algorithm speed up the process, resulting in more output than before the data-based use case, but in the same amount of time?
• How much can be saved through the increased speed per event? 
• How does this differ depending on the performance of the algorithm? </t>
  </si>
  <si>
    <t xml:space="preserve">• Does the algorithm gather and evaluate data so that information on certain topics (e.g., prediction forecasts, etc.) is better than before? Does this result in an improved decision making process?
• How do these improve processes save costs? 
• How does this differ depending on the performance of the algorithm? </t>
  </si>
  <si>
    <t xml:space="preserve">• Can operational risk be reduced through application of the use case? What implications does this have on the business? 
• How can this be translated into additional profit or improve processes save costs? 
• How does this differ depending on the performance of the algorithm? </t>
  </si>
  <si>
    <t>Currency: EUR</t>
  </si>
  <si>
    <r>
      <t>2.5 Yield, ener</t>
    </r>
    <r>
      <rPr>
        <sz val="12"/>
        <rFont val="Arial (Headings)"/>
      </rPr>
      <t>gy,</t>
    </r>
    <r>
      <rPr>
        <sz val="12"/>
        <rFont val="Arial"/>
        <family val="2"/>
        <scheme val="major"/>
      </rPr>
      <t xml:space="preserve"> &amp; throughput</t>
    </r>
  </si>
  <si>
    <t>Average Yearly Profit</t>
  </si>
  <si>
    <t>Yearly increase/decrease</t>
  </si>
  <si>
    <t>Exploration</t>
  </si>
  <si>
    <t>Development, validation, and testing</t>
  </si>
  <si>
    <t>Required (additional) infrastructure</t>
  </si>
  <si>
    <t>(Automated) retraining</t>
  </si>
  <si>
    <t>Infrastructure management</t>
  </si>
  <si>
    <t>Incremental cost increases for rollout/scaling across processes, etc.</t>
  </si>
  <si>
    <t>PV of Cash inflow</t>
  </si>
  <si>
    <t>PV of Cash Outflow</t>
  </si>
  <si>
    <t>PV Cashflow (BC)</t>
  </si>
  <si>
    <t>Average Yearly Profit Discounted</t>
  </si>
  <si>
    <t>Model monitoring, maintenance and reporting</t>
  </si>
  <si>
    <t>Ideation &amp; scoping</t>
  </si>
  <si>
    <t>Total Development/investment costs</t>
  </si>
  <si>
    <t>Development/investment costs</t>
  </si>
  <si>
    <t>Operational/maintenance costs</t>
  </si>
  <si>
    <t>Total operational/maintenance costs</t>
  </si>
  <si>
    <t>Yearly increase/decrease of operational/maintenance costs</t>
  </si>
  <si>
    <t>Post-MVP/Pre-depl. assessment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</si>
</sst>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quot;$&quot;* #,##0.00_);_(&quot;$&quot;* \(#,##0.00\);_(&quot;$&quot;* &quot;-&quot;??_);_(@_)"/>
    <numFmt numFmtId="165" formatCode="_(&quot;$&quot;* #,##0_);_(&quot;$&quot;* \(#,##0\);_(&quot;$&quot;* &quot;-&quot;??_);_(@_)"/>
    <numFmt numFmtId="166" formatCode="0.0%"/>
    <numFmt numFmtId="167" formatCode="_([$€-2]\ * #,##0_);_([$€-2]\ * \(#,##0\);_([$€-2]\ * &quot;-&quot;??_);_(@_)"/>
    <numFmt numFmtId="168" formatCode="0.0"/>
    <numFmt numFmtId="169" formatCode="_-* #,##0_-;\-* #,##0_-;_-* &quot;-&quot;??_-;_-@_-"/>
  </numFmts>
  <fonts count="75">
    <font>
      <sz val="10"/>
      <color rgb="FF000000"/>
      <name val="Arial"/>
    </font>
    <font>
      <u/>
      <sz val="10"/>
      <color theme="10"/>
      <name val="Arial"/>
      <family val="2"/>
    </font>
    <font>
      <sz val="10"/>
      <color rgb="FF000000"/>
      <name val="Arial"/>
      <family val="2"/>
    </font>
    <font>
      <sz val="10"/>
      <color theme="0" tint="-4.9989318521683403E-2"/>
      <name val="Arial"/>
      <family val="2"/>
    </font>
    <font>
      <b/>
      <sz val="10"/>
      <color theme="0" tint="-4.9989318521683403E-2"/>
      <name val="Arial"/>
      <family val="2"/>
    </font>
    <font>
      <sz val="10"/>
      <color rgb="FF000000"/>
      <name val="Calibri Light"/>
      <family val="2"/>
    </font>
    <font>
      <sz val="12"/>
      <color rgb="FF000000"/>
      <name val="Calibri Light"/>
      <family val="2"/>
    </font>
    <font>
      <b/>
      <sz val="12"/>
      <color rgb="FF000000"/>
      <name val="Calibri Light"/>
      <family val="2"/>
    </font>
    <font>
      <sz val="12"/>
      <color theme="1" tint="0.34998626667073579"/>
      <name val="Calibri Light"/>
      <family val="2"/>
    </font>
    <font>
      <i/>
      <sz val="12"/>
      <color theme="1" tint="0.34998626667073579"/>
      <name val="Calibri Light"/>
      <family val="2"/>
    </font>
    <font>
      <i/>
      <sz val="12"/>
      <color rgb="FF17948C"/>
      <name val="Calibri Light"/>
      <family val="2"/>
    </font>
    <font>
      <sz val="10"/>
      <color rgb="FF000000"/>
      <name val="Arial"/>
      <family val="2"/>
    </font>
    <font>
      <sz val="20"/>
      <color rgb="FF000000"/>
      <name val="Calibri Light"/>
      <family val="2"/>
    </font>
    <font>
      <sz val="8"/>
      <name val="Arial"/>
      <family val="2"/>
    </font>
    <font>
      <sz val="10"/>
      <color rgb="FF000000"/>
      <name val="Arial"/>
      <family val="2"/>
      <scheme val="major"/>
    </font>
    <font>
      <sz val="12"/>
      <color rgb="FF000000"/>
      <name val="Arial"/>
      <family val="2"/>
      <scheme val="major"/>
    </font>
    <font>
      <sz val="10"/>
      <color theme="0" tint="-4.9989318521683403E-2"/>
      <name val="Arial"/>
      <family val="2"/>
      <scheme val="major"/>
    </font>
    <font>
      <b/>
      <sz val="12"/>
      <color rgb="FF000000"/>
      <name val="Arial"/>
      <family val="2"/>
      <scheme val="major"/>
    </font>
    <font>
      <sz val="12"/>
      <color theme="1" tint="0.34998626667073579"/>
      <name val="Arial"/>
      <family val="2"/>
      <scheme val="major"/>
    </font>
    <font>
      <sz val="12"/>
      <color theme="0" tint="-0.499984740745262"/>
      <name val="Arial"/>
      <family val="2"/>
      <scheme val="major"/>
    </font>
    <font>
      <i/>
      <sz val="12"/>
      <color theme="1" tint="0.34998626667073579"/>
      <name val="Arial"/>
      <family val="2"/>
      <scheme val="major"/>
    </font>
    <font>
      <b/>
      <sz val="10"/>
      <color theme="0" tint="-4.9989318521683403E-2"/>
      <name val="Arial"/>
      <family val="2"/>
      <scheme val="major"/>
    </font>
    <font>
      <i/>
      <sz val="12"/>
      <color rgb="FF17948C"/>
      <name val="Arial"/>
      <family val="2"/>
      <scheme val="major"/>
    </font>
    <font>
      <sz val="20"/>
      <color rgb="FF17948C"/>
      <name val="Arial"/>
      <family val="2"/>
      <scheme val="major"/>
    </font>
    <font>
      <sz val="12"/>
      <color rgb="FF17948C"/>
      <name val="Arial"/>
      <family val="2"/>
      <scheme val="major"/>
    </font>
    <font>
      <sz val="10"/>
      <color theme="0" tint="-0.499984740745262"/>
      <name val="Arial"/>
      <family val="2"/>
      <scheme val="major"/>
    </font>
    <font>
      <sz val="10"/>
      <color rgb="FF17948C"/>
      <name val="Arial"/>
      <family val="2"/>
      <scheme val="major"/>
    </font>
    <font>
      <b/>
      <sz val="12"/>
      <color theme="0"/>
      <name val="Arial"/>
      <family val="2"/>
      <scheme val="major"/>
    </font>
    <font>
      <sz val="16"/>
      <color rgb="FF17948C"/>
      <name val="Arial"/>
      <family val="2"/>
      <scheme val="major"/>
    </font>
    <font>
      <b/>
      <sz val="10"/>
      <color theme="0" tint="-0.499984740745262"/>
      <name val="Arial"/>
      <family val="2"/>
      <scheme val="major"/>
    </font>
    <font>
      <b/>
      <sz val="12"/>
      <color rgb="FF17948C"/>
      <name val="Arial"/>
      <family val="2"/>
      <scheme val="major"/>
    </font>
    <font>
      <sz val="12"/>
      <color theme="0"/>
      <name val="Arial"/>
      <family val="2"/>
      <scheme val="major"/>
    </font>
    <font>
      <sz val="10"/>
      <color theme="1" tint="0.34998626667073579"/>
      <name val="Arial"/>
      <family val="2"/>
      <scheme val="major"/>
    </font>
    <font>
      <sz val="12"/>
      <color theme="0" tint="-4.9989318521683403E-2"/>
      <name val="Arial"/>
      <family val="2"/>
      <scheme val="major"/>
    </font>
    <font>
      <b/>
      <sz val="12"/>
      <color theme="0" tint="-0.499984740745262"/>
      <name val="Arial"/>
      <family val="2"/>
      <scheme val="major"/>
    </font>
    <font>
      <i/>
      <sz val="12"/>
      <color theme="0" tint="-0.499984740745262"/>
      <name val="Arial"/>
      <family val="2"/>
      <scheme val="major"/>
    </font>
    <font>
      <sz val="10"/>
      <color theme="0"/>
      <name val="Arial"/>
      <family val="2"/>
      <scheme val="major"/>
    </font>
    <font>
      <sz val="20"/>
      <color rgb="FF000000"/>
      <name val="Arial"/>
      <family val="2"/>
      <scheme val="major"/>
    </font>
    <font>
      <b/>
      <sz val="10"/>
      <color theme="1"/>
      <name val="Arial"/>
      <family val="2"/>
      <scheme val="major"/>
    </font>
    <font>
      <b/>
      <sz val="16"/>
      <color rgb="FF17948C"/>
      <name val="Arial"/>
      <family val="2"/>
      <scheme val="major"/>
    </font>
    <font>
      <sz val="12"/>
      <color theme="1" tint="0.499984740745262"/>
      <name val="Arial"/>
      <family val="2"/>
      <scheme val="major"/>
    </font>
    <font>
      <i/>
      <sz val="10"/>
      <color rgb="FF17948C"/>
      <name val="Arial"/>
      <family val="2"/>
      <scheme val="major"/>
    </font>
    <font>
      <sz val="10"/>
      <color theme="1"/>
      <name val="Arial"/>
      <family val="2"/>
      <scheme val="major"/>
    </font>
    <font>
      <sz val="16"/>
      <color theme="0"/>
      <name val="Arial"/>
      <family val="2"/>
      <scheme val="major"/>
    </font>
    <font>
      <u/>
      <sz val="10"/>
      <color theme="10"/>
      <name val="Arial"/>
      <family val="2"/>
      <scheme val="major"/>
    </font>
    <font>
      <u/>
      <sz val="11"/>
      <color theme="10"/>
      <name val="Arial"/>
      <family val="2"/>
      <scheme val="major"/>
    </font>
    <font>
      <sz val="11"/>
      <color theme="0" tint="-0.499984740745262"/>
      <name val="Arial"/>
      <family val="2"/>
      <scheme val="major"/>
    </font>
    <font>
      <sz val="11"/>
      <color rgb="FF000000"/>
      <name val="Arial"/>
      <family val="2"/>
      <scheme val="major"/>
    </font>
    <font>
      <sz val="11"/>
      <color rgb="FF17948C"/>
      <name val="Arial"/>
      <family val="2"/>
      <scheme val="major"/>
    </font>
    <font>
      <b/>
      <sz val="11"/>
      <color rgb="FF17948C"/>
      <name val="Arial"/>
      <family val="2"/>
      <scheme val="major"/>
    </font>
    <font>
      <i/>
      <sz val="11"/>
      <color theme="1" tint="0.34998626667073579"/>
      <name val="Arial"/>
      <family val="2"/>
      <scheme val="major"/>
    </font>
    <font>
      <b/>
      <i/>
      <sz val="11"/>
      <color theme="1" tint="0.34998626667073579"/>
      <name val="Arial"/>
      <family val="2"/>
      <scheme val="major"/>
    </font>
    <font>
      <sz val="10"/>
      <name val="Arial"/>
      <family val="2"/>
      <scheme val="major"/>
    </font>
    <font>
      <b/>
      <sz val="10"/>
      <color rgb="FFFFFFFF"/>
      <name val="Arial"/>
      <family val="2"/>
      <scheme val="major"/>
    </font>
    <font>
      <sz val="11"/>
      <color theme="1" tint="0.34998626667073579"/>
      <name val="Arial"/>
      <family val="2"/>
      <scheme val="major"/>
    </font>
    <font>
      <b/>
      <sz val="11"/>
      <color theme="1" tint="0.34998626667073579"/>
      <name val="Arial"/>
      <family val="2"/>
      <scheme val="major"/>
    </font>
    <font>
      <b/>
      <i/>
      <sz val="12"/>
      <color rgb="FF17948C"/>
      <name val="Arial"/>
      <family val="2"/>
      <scheme val="major"/>
    </font>
    <font>
      <sz val="10"/>
      <color theme="0"/>
      <name val="Calibri Light"/>
      <family val="2"/>
    </font>
    <font>
      <sz val="12"/>
      <color theme="1"/>
      <name val="Arial (Headings)"/>
    </font>
    <font>
      <sz val="12"/>
      <color theme="1" tint="0.34998626667073579"/>
      <name val="Arial (Headings)"/>
    </font>
    <font>
      <i/>
      <sz val="12"/>
      <color rgb="FF17948C"/>
      <name val="Arial (Headings)"/>
    </font>
    <font>
      <sz val="10"/>
      <color rgb="FF17948C"/>
      <name val="Arial (Headings)"/>
    </font>
    <font>
      <sz val="12"/>
      <color rgb="FF17948C"/>
      <name val="Arial (Headings)"/>
    </font>
    <font>
      <sz val="12"/>
      <color theme="0" tint="-0.499984740745262"/>
      <name val="Arial (Headings)"/>
    </font>
    <font>
      <sz val="10"/>
      <color theme="0" tint="-0.499984740745262"/>
      <name val="Arial (Headings)"/>
    </font>
    <font>
      <b/>
      <sz val="12"/>
      <color theme="1" tint="0.34998626667073579"/>
      <name val="Arial"/>
      <family val="2"/>
      <scheme val="major"/>
    </font>
    <font>
      <b/>
      <sz val="12"/>
      <color theme="1"/>
      <name val="Arial"/>
      <family val="2"/>
      <scheme val="major"/>
    </font>
    <font>
      <b/>
      <sz val="12"/>
      <color theme="1"/>
      <name val="Arial (Headings)"/>
    </font>
    <font>
      <sz val="12"/>
      <color theme="1"/>
      <name val="Arial"/>
      <family val="2"/>
      <scheme val="major"/>
    </font>
    <font>
      <i/>
      <sz val="11"/>
      <color theme="1" tint="0.34998626667073579"/>
      <name val="Arial (Headings)"/>
    </font>
    <font>
      <b/>
      <sz val="11"/>
      <color rgb="FF17948C"/>
      <name val="Arial (Headings)"/>
    </font>
    <font>
      <sz val="10"/>
      <color rgb="FF000000"/>
      <name val="Arial"/>
      <family val="2"/>
    </font>
    <font>
      <sz val="12"/>
      <name val="Arial"/>
      <family val="2"/>
      <scheme val="major"/>
    </font>
    <font>
      <sz val="12"/>
      <name val="Arial (Headings)"/>
    </font>
    <font>
      <b/>
      <sz val="10"/>
      <color theme="0"/>
      <name val="Arial"/>
      <family val="2"/>
      <scheme val="major"/>
    </font>
  </fonts>
  <fills count="14">
    <fill>
      <patternFill patternType="none"/>
    </fill>
    <fill>
      <patternFill patternType="gray125"/>
    </fill>
    <fill>
      <patternFill patternType="solid">
        <fgColor rgb="FFF3F3F3"/>
        <bgColor rgb="FFF3F3F3"/>
      </patternFill>
    </fill>
    <fill>
      <patternFill patternType="solid">
        <fgColor theme="0" tint="-4.9989318521683403E-2"/>
        <bgColor indexed="64"/>
      </patternFill>
    </fill>
    <fill>
      <patternFill patternType="solid">
        <fgColor theme="0" tint="-4.9989318521683403E-2"/>
        <bgColor rgb="FFF3F3F3"/>
      </patternFill>
    </fill>
    <fill>
      <patternFill patternType="solid">
        <fgColor theme="0"/>
        <bgColor indexed="64"/>
      </patternFill>
    </fill>
    <fill>
      <patternFill patternType="solid">
        <fgColor theme="0" tint="-0.14999847407452621"/>
        <bgColor indexed="64"/>
      </patternFill>
    </fill>
    <fill>
      <patternFill patternType="solid">
        <fgColor theme="2" tint="-4.9989318521683403E-2"/>
        <bgColor indexed="64"/>
      </patternFill>
    </fill>
    <fill>
      <patternFill patternType="solid">
        <fgColor rgb="FFFFFFFF"/>
        <bgColor rgb="FFFFFFFF"/>
      </patternFill>
    </fill>
    <fill>
      <patternFill patternType="solid">
        <fgColor theme="0"/>
        <bgColor theme="7"/>
      </patternFill>
    </fill>
    <fill>
      <patternFill patternType="solid">
        <fgColor theme="0"/>
        <bgColor rgb="FFF3F3F3"/>
      </patternFill>
    </fill>
    <fill>
      <patternFill patternType="solid">
        <fgColor rgb="FF17948C"/>
        <bgColor theme="7"/>
      </patternFill>
    </fill>
    <fill>
      <patternFill patternType="solid">
        <fgColor theme="9" tint="0.79998168889431442"/>
        <bgColor rgb="FFB6D7A8"/>
      </patternFill>
    </fill>
    <fill>
      <patternFill patternType="solid">
        <fgColor theme="6" tint="0.79998168889431442"/>
        <bgColor rgb="FFEA9999"/>
      </patternFill>
    </fill>
  </fills>
  <borders count="3">
    <border>
      <left/>
      <right/>
      <top/>
      <bottom/>
      <diagonal/>
    </border>
    <border>
      <left/>
      <right/>
      <top/>
      <bottom style="thin">
        <color rgb="FF17948C"/>
      </bottom>
      <diagonal/>
    </border>
    <border>
      <left/>
      <right/>
      <top/>
      <bottom style="thin">
        <color theme="0" tint="-0.14999847407452621"/>
      </bottom>
      <diagonal/>
    </border>
  </borders>
  <cellStyleXfs count="5">
    <xf numFmtId="0" fontId="0" fillId="0" borderId="0"/>
    <xf numFmtId="0" fontId="1" fillId="0" borderId="0" applyNumberFormat="0" applyFill="0" applyBorder="0" applyAlignment="0" applyProtection="0"/>
    <xf numFmtId="9" fontId="2" fillId="0" borderId="0" applyFont="0" applyFill="0" applyBorder="0" applyAlignment="0" applyProtection="0"/>
    <xf numFmtId="164" fontId="11" fillId="0" borderId="0" applyFont="0" applyFill="0" applyBorder="0" applyAlignment="0" applyProtection="0"/>
    <xf numFmtId="43" fontId="71" fillId="0" borderId="0" applyFont="0" applyFill="0" applyBorder="0" applyAlignment="0" applyProtection="0"/>
  </cellStyleXfs>
  <cellXfs count="356">
    <xf numFmtId="0" fontId="0" fillId="0" borderId="0" xfId="0" applyFont="1" applyAlignment="1"/>
    <xf numFmtId="0" fontId="5" fillId="3" borderId="0" xfId="0" applyFont="1" applyFill="1" applyAlignment="1"/>
    <xf numFmtId="0" fontId="5" fillId="5" borderId="0" xfId="0" applyFont="1" applyFill="1" applyAlignment="1"/>
    <xf numFmtId="0" fontId="6" fillId="6" borderId="0" xfId="0" applyFont="1" applyFill="1" applyAlignment="1"/>
    <xf numFmtId="0" fontId="6" fillId="5" borderId="0" xfId="0" applyFont="1" applyFill="1" applyAlignment="1"/>
    <xf numFmtId="0" fontId="7" fillId="5" borderId="0" xfId="0" applyFont="1" applyFill="1" applyAlignment="1">
      <alignment horizontal="right" vertical="center"/>
    </xf>
    <xf numFmtId="0" fontId="4" fillId="4" borderId="0" xfId="0" applyFont="1" applyFill="1" applyBorder="1" applyAlignment="1">
      <alignment vertical="top" wrapText="1"/>
    </xf>
    <xf numFmtId="0" fontId="4" fillId="4" borderId="0" xfId="0" applyFont="1" applyFill="1" applyBorder="1" applyAlignment="1">
      <alignment horizontal="left" vertical="top" wrapText="1"/>
    </xf>
    <xf numFmtId="0" fontId="9" fillId="5" borderId="0" xfId="0" applyFont="1" applyFill="1" applyAlignment="1">
      <alignment vertical="center" wrapText="1"/>
    </xf>
    <xf numFmtId="0" fontId="8" fillId="3" borderId="0" xfId="0" applyFont="1" applyFill="1" applyAlignment="1" applyProtection="1">
      <alignment horizontal="left" vertical="center" indent="1"/>
      <protection locked="0"/>
    </xf>
    <xf numFmtId="0" fontId="10" fillId="5" borderId="0" xfId="0" applyFont="1" applyFill="1" applyAlignment="1">
      <alignment horizontal="left" vertical="center" wrapText="1" indent="1"/>
    </xf>
    <xf numFmtId="0" fontId="8" fillId="5" borderId="0" xfId="0" applyFont="1" applyFill="1" applyAlignment="1" applyProtection="1">
      <alignment horizontal="left" vertical="center" indent="1"/>
      <protection locked="0"/>
    </xf>
    <xf numFmtId="166" fontId="8" fillId="3" borderId="0" xfId="2" applyNumberFormat="1" applyFont="1" applyFill="1" applyAlignment="1" applyProtection="1">
      <alignment horizontal="right" vertical="center" indent="1"/>
      <protection locked="0"/>
    </xf>
    <xf numFmtId="0" fontId="7" fillId="5" borderId="0" xfId="0" applyFont="1" applyFill="1" applyAlignment="1">
      <alignment vertical="top" wrapText="1"/>
    </xf>
    <xf numFmtId="0" fontId="8" fillId="3" borderId="0" xfId="0" applyFont="1" applyFill="1" applyAlignment="1" applyProtection="1">
      <alignment horizontal="right" vertical="center" indent="1"/>
      <protection locked="0"/>
    </xf>
    <xf numFmtId="0" fontId="4" fillId="2" borderId="0" xfId="0" applyFont="1" applyFill="1" applyBorder="1" applyAlignment="1">
      <alignment horizontal="left" vertical="top" wrapText="1"/>
    </xf>
    <xf numFmtId="0" fontId="4" fillId="2" borderId="0" xfId="0" applyFont="1" applyFill="1" applyBorder="1" applyAlignment="1">
      <alignment vertical="top" wrapText="1"/>
    </xf>
    <xf numFmtId="0" fontId="8" fillId="5" borderId="0" xfId="0" applyFont="1" applyFill="1" applyAlignment="1" applyProtection="1">
      <alignment vertical="top" wrapText="1"/>
      <protection locked="0"/>
    </xf>
    <xf numFmtId="0" fontId="14" fillId="3" borderId="0" xfId="0" applyFont="1" applyFill="1" applyAlignment="1"/>
    <xf numFmtId="0" fontId="15" fillId="6" borderId="0" xfId="0" applyFont="1" applyFill="1" applyAlignment="1"/>
    <xf numFmtId="0" fontId="16" fillId="3" borderId="0" xfId="0" applyFont="1" applyFill="1" applyAlignment="1"/>
    <xf numFmtId="0" fontId="15" fillId="5" borderId="0" xfId="0" applyFont="1" applyFill="1" applyAlignment="1"/>
    <xf numFmtId="0" fontId="17" fillId="5" borderId="0" xfId="0" applyFont="1" applyFill="1" applyAlignment="1">
      <alignment horizontal="right" vertical="center"/>
    </xf>
    <xf numFmtId="0" fontId="18" fillId="3" borderId="0" xfId="0" applyFont="1" applyFill="1" applyAlignment="1" applyProtection="1">
      <alignment horizontal="left" vertical="center" indent="1"/>
      <protection locked="0"/>
    </xf>
    <xf numFmtId="0" fontId="18" fillId="5" borderId="0" xfId="0" applyFont="1" applyFill="1" applyAlignment="1" applyProtection="1">
      <alignment vertical="top" wrapText="1"/>
    </xf>
    <xf numFmtId="0" fontId="15" fillId="5" borderId="0" xfId="0" applyFont="1" applyFill="1" applyAlignment="1" applyProtection="1"/>
    <xf numFmtId="0" fontId="20" fillId="5" borderId="0" xfId="0" applyFont="1" applyFill="1" applyAlignment="1">
      <alignment vertical="center" wrapText="1"/>
    </xf>
    <xf numFmtId="166" fontId="18" fillId="3" borderId="0" xfId="2" applyNumberFormat="1" applyFont="1" applyFill="1" applyAlignment="1" applyProtection="1">
      <alignment horizontal="right" vertical="center" indent="1"/>
      <protection locked="0"/>
    </xf>
    <xf numFmtId="0" fontId="21" fillId="4" borderId="0" xfId="0" applyFont="1" applyFill="1" applyBorder="1" applyAlignment="1">
      <alignment vertical="top" wrapText="1"/>
    </xf>
    <xf numFmtId="0" fontId="14" fillId="5" borderId="0" xfId="0" applyFont="1" applyFill="1" applyAlignment="1"/>
    <xf numFmtId="0" fontId="22" fillId="5" borderId="0" xfId="0" applyFont="1" applyFill="1" applyAlignment="1">
      <alignment horizontal="left" vertical="center" wrapText="1" indent="1"/>
    </xf>
    <xf numFmtId="0" fontId="21" fillId="4" borderId="0" xfId="0" applyFont="1" applyFill="1" applyBorder="1" applyAlignment="1">
      <alignment horizontal="left" vertical="top" wrapText="1"/>
    </xf>
    <xf numFmtId="0" fontId="18" fillId="5" borderId="0" xfId="0" applyFont="1" applyFill="1" applyAlignment="1" applyProtection="1">
      <alignment horizontal="left" vertical="center" indent="1"/>
    </xf>
    <xf numFmtId="0" fontId="21" fillId="2" borderId="0" xfId="0" applyFont="1" applyFill="1" applyBorder="1" applyAlignment="1">
      <alignment horizontal="left" vertical="top" wrapText="1"/>
    </xf>
    <xf numFmtId="0" fontId="21" fillId="2" borderId="0" xfId="0" applyFont="1" applyFill="1" applyBorder="1" applyAlignment="1">
      <alignment vertical="top" wrapText="1"/>
    </xf>
    <xf numFmtId="0" fontId="16" fillId="4" borderId="0" xfId="0" applyFont="1" applyFill="1" applyBorder="1" applyAlignment="1">
      <alignment horizontal="left" vertical="top" wrapText="1"/>
    </xf>
    <xf numFmtId="0" fontId="17" fillId="5" borderId="0" xfId="0" applyFont="1" applyFill="1" applyAlignment="1">
      <alignment vertical="center" wrapText="1"/>
    </xf>
    <xf numFmtId="0" fontId="22" fillId="5" borderId="0" xfId="0" applyFont="1" applyFill="1" applyBorder="1" applyAlignment="1">
      <alignment vertical="top" wrapText="1"/>
    </xf>
    <xf numFmtId="0" fontId="15" fillId="5" borderId="0" xfId="0" applyFont="1" applyFill="1" applyAlignment="1">
      <alignment horizontal="right" vertical="top" wrapText="1"/>
    </xf>
    <xf numFmtId="0" fontId="15" fillId="5" borderId="0" xfId="0" applyFont="1" applyFill="1" applyAlignment="1">
      <alignment vertical="top"/>
    </xf>
    <xf numFmtId="0" fontId="15" fillId="5" borderId="0" xfId="0" applyFont="1" applyFill="1" applyAlignment="1">
      <alignment vertical="top" wrapText="1"/>
    </xf>
    <xf numFmtId="0" fontId="22" fillId="5" borderId="0" xfId="0" applyFont="1" applyFill="1" applyBorder="1" applyAlignment="1">
      <alignment horizontal="left" vertical="top" wrapText="1"/>
    </xf>
    <xf numFmtId="0" fontId="15" fillId="5" borderId="0" xfId="0" applyFont="1" applyFill="1" applyAlignment="1">
      <alignment horizontal="right" vertical="top"/>
    </xf>
    <xf numFmtId="0" fontId="17" fillId="5" borderId="0" xfId="0" applyFont="1" applyFill="1" applyAlignment="1">
      <alignment wrapText="1"/>
    </xf>
    <xf numFmtId="0" fontId="14" fillId="3" borderId="0" xfId="0" applyFont="1" applyFill="1" applyAlignment="1" applyProtection="1"/>
    <xf numFmtId="0" fontId="15" fillId="5" borderId="0" xfId="0" applyFont="1" applyFill="1" applyBorder="1" applyAlignment="1" applyProtection="1"/>
    <xf numFmtId="167" fontId="18" fillId="5" borderId="0" xfId="3" applyNumberFormat="1" applyFont="1" applyFill="1" applyBorder="1" applyAlignment="1" applyProtection="1">
      <alignment horizontal="left" vertical="center" indent="1"/>
    </xf>
    <xf numFmtId="167" fontId="24" fillId="5" borderId="0" xfId="0" applyNumberFormat="1" applyFont="1" applyFill="1" applyBorder="1" applyAlignment="1" applyProtection="1">
      <alignment vertical="center"/>
    </xf>
    <xf numFmtId="0" fontId="25" fillId="5" borderId="0" xfId="0" applyFont="1" applyFill="1" applyBorder="1" applyAlignment="1" applyProtection="1">
      <alignment horizontal="right" vertical="top"/>
    </xf>
    <xf numFmtId="0" fontId="26" fillId="5" borderId="0" xfId="0" applyFont="1" applyFill="1" applyBorder="1" applyAlignment="1" applyProtection="1">
      <alignment horizontal="right" vertical="top"/>
    </xf>
    <xf numFmtId="0" fontId="17" fillId="5" borderId="0" xfId="0" applyFont="1" applyFill="1" applyBorder="1" applyAlignment="1" applyProtection="1">
      <alignment horizontal="right" vertical="center"/>
    </xf>
    <xf numFmtId="0" fontId="18" fillId="5" borderId="0" xfId="0" applyFont="1" applyFill="1" applyBorder="1" applyAlignment="1" applyProtection="1">
      <alignment horizontal="left" vertical="center" indent="1"/>
    </xf>
    <xf numFmtId="167" fontId="19" fillId="5" borderId="0" xfId="0" applyNumberFormat="1" applyFont="1" applyFill="1" applyBorder="1" applyAlignment="1" applyProtection="1">
      <alignment vertical="center"/>
    </xf>
    <xf numFmtId="0" fontId="17" fillId="5" borderId="0" xfId="0" applyFont="1" applyFill="1" applyBorder="1" applyAlignment="1" applyProtection="1">
      <alignment horizontal="right" vertical="center" wrapText="1"/>
    </xf>
    <xf numFmtId="0" fontId="14" fillId="5" borderId="0" xfId="0" applyFont="1" applyFill="1" applyAlignment="1" applyProtection="1"/>
    <xf numFmtId="0" fontId="25" fillId="5" borderId="0" xfId="0" applyFont="1" applyFill="1" applyAlignment="1" applyProtection="1">
      <alignment horizontal="right" vertical="top"/>
    </xf>
    <xf numFmtId="0" fontId="18" fillId="5" borderId="0" xfId="0" applyFont="1" applyFill="1" applyBorder="1" applyAlignment="1" applyProtection="1">
      <alignment horizontal="left" vertical="top" wrapText="1" indent="1"/>
    </xf>
    <xf numFmtId="0" fontId="14" fillId="5" borderId="0" xfId="0" applyFont="1" applyFill="1" applyBorder="1" applyAlignment="1" applyProtection="1"/>
    <xf numFmtId="0" fontId="18" fillId="5" borderId="0" xfId="0" applyFont="1" applyFill="1" applyBorder="1" applyAlignment="1" applyProtection="1">
      <alignment vertical="top" wrapText="1"/>
    </xf>
    <xf numFmtId="0" fontId="16" fillId="3" borderId="0" xfId="0" applyFont="1" applyFill="1" applyAlignment="1" applyProtection="1"/>
    <xf numFmtId="0" fontId="17" fillId="5" borderId="0" xfId="0" applyFont="1" applyFill="1" applyAlignment="1" applyProtection="1">
      <alignment horizontal="right" vertical="top"/>
    </xf>
    <xf numFmtId="0" fontId="17" fillId="5" borderId="0" xfId="0" applyFont="1" applyFill="1" applyAlignment="1" applyProtection="1">
      <alignment horizontal="right" vertical="center"/>
    </xf>
    <xf numFmtId="0" fontId="27" fillId="5" borderId="0" xfId="0" applyFont="1" applyFill="1" applyAlignment="1" applyProtection="1">
      <alignment horizontal="right" vertical="center"/>
    </xf>
    <xf numFmtId="0" fontId="28" fillId="5" borderId="0" xfId="0" applyFont="1" applyFill="1" applyAlignment="1" applyProtection="1">
      <alignment horizontal="left" vertical="center" indent="1"/>
    </xf>
    <xf numFmtId="0" fontId="23" fillId="5" borderId="0" xfId="0" applyFont="1" applyFill="1" applyAlignment="1" applyProtection="1">
      <alignment vertical="center"/>
    </xf>
    <xf numFmtId="0" fontId="28" fillId="5" borderId="0" xfId="0" applyFont="1" applyFill="1" applyAlignment="1" applyProtection="1">
      <alignment horizontal="left" vertical="center"/>
    </xf>
    <xf numFmtId="0" fontId="23" fillId="5" borderId="0" xfId="0" applyFont="1" applyFill="1" applyAlignment="1" applyProtection="1">
      <alignment horizontal="center" vertical="center"/>
    </xf>
    <xf numFmtId="0" fontId="26" fillId="5" borderId="0" xfId="0" applyFont="1" applyFill="1" applyBorder="1" applyAlignment="1" applyProtection="1">
      <alignment horizontal="center" vertical="center" wrapText="1"/>
    </xf>
    <xf numFmtId="0" fontId="26" fillId="5" borderId="0" xfId="0" applyFont="1" applyFill="1" applyAlignment="1" applyProtection="1">
      <alignment horizontal="center" vertical="center"/>
    </xf>
    <xf numFmtId="0" fontId="26" fillId="5" borderId="0" xfId="0" applyFont="1" applyFill="1" applyBorder="1" applyAlignment="1" applyProtection="1">
      <alignment horizontal="center" vertical="center"/>
    </xf>
    <xf numFmtId="0" fontId="31" fillId="5" borderId="0" xfId="0" applyFont="1" applyFill="1" applyAlignment="1" applyProtection="1"/>
    <xf numFmtId="0" fontId="15" fillId="5" borderId="0" xfId="0" applyFont="1" applyFill="1" applyAlignment="1" applyProtection="1">
      <alignment horizontal="center"/>
    </xf>
    <xf numFmtId="167" fontId="18" fillId="5" borderId="0" xfId="0" applyNumberFormat="1" applyFont="1" applyFill="1" applyBorder="1" applyAlignment="1" applyProtection="1">
      <alignment vertical="center"/>
    </xf>
    <xf numFmtId="167" fontId="18" fillId="3" borderId="0" xfId="0" applyNumberFormat="1" applyFont="1" applyFill="1" applyBorder="1" applyAlignment="1" applyProtection="1">
      <alignment vertical="center" wrapText="1"/>
      <protection locked="0"/>
    </xf>
    <xf numFmtId="0" fontId="32" fillId="3" borderId="0" xfId="0" applyFont="1" applyFill="1" applyAlignment="1" applyProtection="1">
      <alignment horizontal="center" vertical="top" wrapText="1"/>
      <protection locked="0"/>
    </xf>
    <xf numFmtId="0" fontId="29" fillId="5" borderId="0" xfId="0" applyFont="1" applyFill="1" applyBorder="1" applyAlignment="1" applyProtection="1">
      <alignment horizontal="center" vertical="center" wrapText="1"/>
    </xf>
    <xf numFmtId="0" fontId="29" fillId="5" borderId="0" xfId="0" applyFont="1" applyFill="1" applyAlignment="1" applyProtection="1">
      <alignment horizontal="center" vertical="center"/>
    </xf>
    <xf numFmtId="0" fontId="29" fillId="5" borderId="0" xfId="0" applyFont="1" applyFill="1" applyBorder="1" applyAlignment="1" applyProtection="1">
      <alignment horizontal="center" vertical="center"/>
    </xf>
    <xf numFmtId="0" fontId="33" fillId="5" borderId="0" xfId="0" applyFont="1" applyFill="1" applyAlignment="1" applyProtection="1"/>
    <xf numFmtId="0" fontId="25" fillId="5" borderId="0" xfId="0" applyFont="1" applyFill="1" applyBorder="1" applyAlignment="1" applyProtection="1">
      <alignment horizontal="right" vertical="top" wrapText="1"/>
    </xf>
    <xf numFmtId="0" fontId="24" fillId="5" borderId="1" xfId="0" applyFont="1" applyFill="1" applyBorder="1" applyAlignment="1" applyProtection="1"/>
    <xf numFmtId="0" fontId="22" fillId="5" borderId="1" xfId="0" applyFont="1" applyFill="1" applyBorder="1" applyAlignment="1" applyProtection="1">
      <alignment vertical="center" wrapText="1"/>
    </xf>
    <xf numFmtId="0" fontId="30" fillId="5" borderId="1" xfId="0" applyFont="1" applyFill="1" applyBorder="1" applyAlignment="1" applyProtection="1">
      <alignment horizontal="center" vertical="center"/>
    </xf>
    <xf numFmtId="0" fontId="17" fillId="5" borderId="1" xfId="0" applyFont="1" applyFill="1" applyBorder="1" applyAlignment="1" applyProtection="1">
      <alignment vertical="center"/>
    </xf>
    <xf numFmtId="0" fontId="20" fillId="7" borderId="0" xfId="0" applyFont="1" applyFill="1" applyAlignment="1" applyProtection="1">
      <alignment vertical="center" wrapText="1"/>
    </xf>
    <xf numFmtId="0" fontId="22" fillId="7" borderId="0" xfId="0" applyFont="1" applyFill="1" applyAlignment="1" applyProtection="1">
      <alignment horizontal="left" vertical="center" wrapText="1" indent="1"/>
    </xf>
    <xf numFmtId="0" fontId="15" fillId="7" borderId="0" xfId="0" applyFont="1" applyFill="1" applyAlignment="1" applyProtection="1"/>
    <xf numFmtId="0" fontId="36" fillId="5" borderId="0" xfId="0" applyFont="1" applyFill="1" applyAlignment="1" applyProtection="1"/>
    <xf numFmtId="0" fontId="37" fillId="5" borderId="0" xfId="0" applyFont="1" applyFill="1" applyAlignment="1" applyProtection="1">
      <alignment vertical="center"/>
    </xf>
    <xf numFmtId="0" fontId="21" fillId="4" borderId="0" xfId="0" applyFont="1" applyFill="1" applyBorder="1" applyAlignment="1" applyProtection="1">
      <alignment horizontal="left" vertical="top" wrapText="1"/>
    </xf>
    <xf numFmtId="0" fontId="16" fillId="4" borderId="0" xfId="0" applyFont="1" applyFill="1" applyBorder="1" applyAlignment="1" applyProtection="1">
      <alignment horizontal="left" vertical="top" wrapText="1"/>
    </xf>
    <xf numFmtId="0" fontId="22" fillId="7" borderId="0" xfId="0" applyFont="1" applyFill="1" applyAlignment="1" applyProtection="1">
      <alignment vertical="center" wrapText="1"/>
    </xf>
    <xf numFmtId="0" fontId="22" fillId="5" borderId="0" xfId="0" applyFont="1" applyFill="1" applyAlignment="1" applyProtection="1">
      <alignment vertical="center" wrapText="1"/>
    </xf>
    <xf numFmtId="0" fontId="16" fillId="3" borderId="0" xfId="0" applyFont="1" applyFill="1" applyAlignment="1">
      <alignment wrapText="1"/>
    </xf>
    <xf numFmtId="0" fontId="21" fillId="4" borderId="0" xfId="0" applyFont="1" applyFill="1" applyBorder="1" applyAlignment="1" applyProtection="1">
      <alignment vertical="top" wrapText="1"/>
    </xf>
    <xf numFmtId="0" fontId="16" fillId="7" borderId="0" xfId="0" applyFont="1" applyFill="1" applyAlignment="1" applyProtection="1"/>
    <xf numFmtId="0" fontId="16" fillId="4" borderId="0" xfId="0" applyFont="1" applyFill="1" applyBorder="1" applyAlignment="1" applyProtection="1">
      <alignment vertical="top" wrapText="1"/>
    </xf>
    <xf numFmtId="0" fontId="15" fillId="6" borderId="0" xfId="0" applyFont="1" applyFill="1" applyAlignment="1" applyProtection="1"/>
    <xf numFmtId="0" fontId="31" fillId="5" borderId="0" xfId="0" applyFont="1" applyFill="1" applyBorder="1" applyAlignment="1" applyProtection="1">
      <alignment vertical="top" wrapText="1"/>
    </xf>
    <xf numFmtId="167" fontId="24" fillId="3" borderId="0" xfId="0" applyNumberFormat="1" applyFont="1" applyFill="1" applyBorder="1" applyAlignment="1" applyProtection="1">
      <alignment vertical="center"/>
    </xf>
    <xf numFmtId="0" fontId="18" fillId="3" borderId="0" xfId="0" applyFont="1" applyFill="1" applyBorder="1" applyAlignment="1" applyProtection="1">
      <alignment horizontal="left" vertical="top" wrapText="1" indent="1"/>
    </xf>
    <xf numFmtId="0" fontId="18" fillId="3" borderId="0" xfId="0" applyFont="1" applyFill="1" applyBorder="1" applyAlignment="1" applyProtection="1">
      <alignment vertical="top" wrapText="1"/>
    </xf>
    <xf numFmtId="0" fontId="25" fillId="3" borderId="0" xfId="0" applyFont="1" applyFill="1" applyAlignment="1" applyProtection="1">
      <alignment horizontal="right" vertical="top"/>
    </xf>
    <xf numFmtId="0" fontId="39" fillId="5" borderId="0" xfId="0" applyFont="1" applyFill="1" applyAlignment="1" applyProtection="1">
      <alignment horizontal="left" vertical="center"/>
    </xf>
    <xf numFmtId="0" fontId="26" fillId="5" borderId="0" xfId="0" applyFont="1" applyFill="1" applyBorder="1" applyAlignment="1" applyProtection="1">
      <alignment horizontal="center"/>
    </xf>
    <xf numFmtId="0" fontId="26" fillId="5" borderId="0" xfId="0" applyFont="1" applyFill="1" applyAlignment="1" applyProtection="1">
      <alignment horizontal="center" vertical="center" wrapText="1"/>
    </xf>
    <xf numFmtId="0" fontId="32" fillId="3" borderId="0" xfId="0" applyFont="1" applyFill="1" applyAlignment="1" applyProtection="1">
      <alignment horizontal="center" vertical="center" wrapText="1"/>
      <protection locked="0"/>
    </xf>
    <xf numFmtId="0" fontId="33" fillId="5" borderId="0" xfId="0" applyFont="1" applyFill="1" applyBorder="1" applyAlignment="1" applyProtection="1"/>
    <xf numFmtId="0" fontId="40" fillId="5" borderId="0" xfId="0" applyFont="1" applyFill="1" applyBorder="1" applyAlignment="1" applyProtection="1">
      <alignment vertical="top"/>
    </xf>
    <xf numFmtId="0" fontId="40" fillId="5" borderId="0" xfId="0" applyFont="1" applyFill="1" applyBorder="1" applyAlignment="1" applyProtection="1">
      <alignment horizontal="left" vertical="top" indent="1"/>
    </xf>
    <xf numFmtId="0" fontId="40" fillId="5" borderId="0" xfId="0" applyFont="1" applyFill="1" applyAlignment="1" applyProtection="1">
      <alignment horizontal="left" vertical="top" indent="1"/>
    </xf>
    <xf numFmtId="0" fontId="41" fillId="5" borderId="0" xfId="0" applyFont="1" applyFill="1" applyBorder="1" applyAlignment="1" applyProtection="1">
      <alignment horizontal="left" vertical="top" wrapText="1" indent="1"/>
    </xf>
    <xf numFmtId="0" fontId="26" fillId="5" borderId="0" xfId="0" applyFont="1" applyFill="1" applyBorder="1" applyAlignment="1" applyProtection="1">
      <alignment horizontal="center" wrapText="1"/>
    </xf>
    <xf numFmtId="0" fontId="26" fillId="5" borderId="0" xfId="0" applyFont="1" applyFill="1" applyAlignment="1" applyProtection="1">
      <alignment horizontal="center" wrapText="1"/>
    </xf>
    <xf numFmtId="37" fontId="18" fillId="5" borderId="0" xfId="0" applyNumberFormat="1" applyFont="1" applyFill="1" applyBorder="1" applyAlignment="1" applyProtection="1">
      <alignment vertical="center" wrapText="1"/>
    </xf>
    <xf numFmtId="37" fontId="18" fillId="5" borderId="0" xfId="0" applyNumberFormat="1" applyFont="1" applyFill="1" applyBorder="1" applyAlignment="1" applyProtection="1">
      <alignment vertical="center"/>
    </xf>
    <xf numFmtId="0" fontId="17" fillId="5" borderId="0" xfId="0" applyFont="1" applyFill="1" applyAlignment="1" applyProtection="1">
      <alignment vertical="top" wrapText="1"/>
    </xf>
    <xf numFmtId="0" fontId="18" fillId="5" borderId="0" xfId="0" applyFont="1" applyFill="1" applyAlignment="1" applyProtection="1">
      <alignment horizontal="right" vertical="center" indent="1"/>
    </xf>
    <xf numFmtId="0" fontId="17" fillId="5" borderId="0" xfId="0" applyFont="1" applyFill="1" applyAlignment="1" applyProtection="1">
      <alignment horizontal="right" vertical="top" wrapText="1"/>
    </xf>
    <xf numFmtId="0" fontId="20" fillId="5" borderId="0" xfId="0" applyFont="1" applyFill="1" applyAlignment="1" applyProtection="1">
      <alignment vertical="center" wrapText="1"/>
    </xf>
    <xf numFmtId="166" fontId="18" fillId="5" borderId="0" xfId="2" applyNumberFormat="1" applyFont="1" applyFill="1" applyAlignment="1" applyProtection="1">
      <alignment horizontal="right" vertical="center" indent="1"/>
    </xf>
    <xf numFmtId="0" fontId="22" fillId="5" borderId="0" xfId="0" applyFont="1" applyFill="1" applyAlignment="1" applyProtection="1">
      <alignment horizontal="left" vertical="center" wrapText="1" indent="1"/>
    </xf>
    <xf numFmtId="0" fontId="15" fillId="3" borderId="0" xfId="0" applyFont="1" applyFill="1" applyBorder="1" applyAlignment="1"/>
    <xf numFmtId="0" fontId="20" fillId="3" borderId="0" xfId="0" applyFont="1" applyFill="1" applyBorder="1" applyAlignment="1">
      <alignment vertical="center" wrapText="1"/>
    </xf>
    <xf numFmtId="0" fontId="17" fillId="3" borderId="0" xfId="0" applyFont="1" applyFill="1" applyBorder="1" applyAlignment="1">
      <alignment horizontal="center" vertical="center"/>
    </xf>
    <xf numFmtId="0" fontId="17" fillId="3" borderId="0" xfId="0" applyFont="1" applyFill="1" applyBorder="1" applyAlignment="1">
      <alignment vertical="center"/>
    </xf>
    <xf numFmtId="0" fontId="14" fillId="3" borderId="0" xfId="0" applyFont="1" applyFill="1" applyBorder="1" applyAlignment="1"/>
    <xf numFmtId="0" fontId="22" fillId="3" borderId="0" xfId="0" applyFont="1" applyFill="1" applyBorder="1" applyAlignment="1">
      <alignment horizontal="left" vertical="center" wrapText="1" indent="1"/>
    </xf>
    <xf numFmtId="0" fontId="37" fillId="3" borderId="0" xfId="0" applyFont="1" applyFill="1" applyBorder="1" applyAlignment="1">
      <alignment vertical="center"/>
    </xf>
    <xf numFmtId="0" fontId="22" fillId="3" borderId="0" xfId="0" applyFont="1" applyFill="1" applyBorder="1" applyAlignment="1">
      <alignment vertical="center" wrapText="1"/>
    </xf>
    <xf numFmtId="0" fontId="18" fillId="3" borderId="0" xfId="0" applyFont="1" applyFill="1" applyBorder="1" applyAlignment="1" applyProtection="1">
      <alignment vertical="top" wrapText="1"/>
      <protection locked="0"/>
    </xf>
    <xf numFmtId="0" fontId="17" fillId="3" borderId="0" xfId="0" applyFont="1" applyFill="1" applyBorder="1" applyAlignment="1">
      <alignment vertical="top" wrapText="1"/>
    </xf>
    <xf numFmtId="0" fontId="17" fillId="3" borderId="0" xfId="0" applyFont="1" applyFill="1" applyBorder="1" applyAlignment="1">
      <alignment vertical="center" wrapText="1"/>
    </xf>
    <xf numFmtId="0" fontId="15" fillId="3" borderId="0" xfId="0" applyFont="1" applyFill="1" applyAlignment="1"/>
    <xf numFmtId="0" fontId="17" fillId="3" borderId="0" xfId="0" applyFont="1" applyFill="1" applyAlignment="1">
      <alignment vertical="center" wrapText="1"/>
    </xf>
    <xf numFmtId="165" fontId="18" fillId="3" borderId="0" xfId="3" applyNumberFormat="1" applyFont="1" applyFill="1" applyAlignment="1" applyProtection="1">
      <alignment horizontal="left" vertical="center" indent="1"/>
      <protection locked="0"/>
    </xf>
    <xf numFmtId="0" fontId="22" fillId="3" borderId="0" xfId="0" applyFont="1" applyFill="1" applyAlignment="1">
      <alignment horizontal="left" vertical="center" wrapText="1" indent="1"/>
    </xf>
    <xf numFmtId="0" fontId="17" fillId="5" borderId="0" xfId="0" applyFont="1" applyFill="1" applyAlignment="1">
      <alignment horizontal="right" vertical="center" wrapText="1"/>
    </xf>
    <xf numFmtId="0" fontId="25" fillId="5" borderId="0" xfId="0" applyFont="1" applyFill="1" applyAlignment="1">
      <alignment horizontal="right" vertical="top"/>
    </xf>
    <xf numFmtId="0" fontId="25" fillId="5" borderId="0" xfId="0" applyFont="1" applyFill="1" applyBorder="1" applyAlignment="1">
      <alignment horizontal="right" vertical="top"/>
    </xf>
    <xf numFmtId="0" fontId="26" fillId="5" borderId="0" xfId="0" applyFont="1" applyFill="1" applyAlignment="1">
      <alignment horizontal="right" vertical="top"/>
    </xf>
    <xf numFmtId="0" fontId="18" fillId="5" borderId="0" xfId="0" applyFont="1" applyFill="1" applyAlignment="1" applyProtection="1">
      <alignment vertical="top" wrapText="1"/>
      <protection locked="0"/>
    </xf>
    <xf numFmtId="0" fontId="17" fillId="5" borderId="0" xfId="0" applyFont="1" applyFill="1" applyAlignment="1">
      <alignment horizontal="right" vertical="top"/>
    </xf>
    <xf numFmtId="167" fontId="18" fillId="5" borderId="0" xfId="0" applyNumberFormat="1" applyFont="1" applyFill="1" applyAlignment="1">
      <alignment vertical="center"/>
    </xf>
    <xf numFmtId="0" fontId="15" fillId="5" borderId="0" xfId="0" applyFont="1" applyFill="1" applyBorder="1" applyAlignment="1"/>
    <xf numFmtId="0" fontId="31" fillId="5" borderId="0" xfId="0" applyFont="1" applyFill="1" applyAlignment="1"/>
    <xf numFmtId="167" fontId="18" fillId="5" borderId="0" xfId="3" applyNumberFormat="1" applyFont="1" applyFill="1" applyAlignment="1" applyProtection="1">
      <alignment horizontal="left" vertical="center" indent="1"/>
      <protection locked="0"/>
    </xf>
    <xf numFmtId="167" fontId="24" fillId="5" borderId="0" xfId="0" applyNumberFormat="1" applyFont="1" applyFill="1" applyBorder="1" applyAlignment="1">
      <alignment vertical="center"/>
    </xf>
    <xf numFmtId="0" fontId="18" fillId="5" borderId="0" xfId="0" applyFont="1" applyFill="1" applyAlignment="1" applyProtection="1">
      <alignment horizontal="left" vertical="center" indent="1"/>
      <protection locked="0"/>
    </xf>
    <xf numFmtId="0" fontId="17" fillId="5" borderId="0" xfId="0" applyFont="1" applyFill="1" applyAlignment="1">
      <alignment vertical="top" wrapText="1"/>
    </xf>
    <xf numFmtId="0" fontId="18" fillId="5" borderId="0" xfId="0" applyFont="1" applyFill="1" applyAlignment="1" applyProtection="1">
      <alignment horizontal="right" vertical="center" indent="1"/>
      <protection locked="0"/>
    </xf>
    <xf numFmtId="0" fontId="17" fillId="5" borderId="0" xfId="0" applyFont="1" applyFill="1" applyAlignment="1">
      <alignment horizontal="right" vertical="top" wrapText="1"/>
    </xf>
    <xf numFmtId="166" fontId="18" fillId="5" borderId="0" xfId="2" applyNumberFormat="1" applyFont="1" applyFill="1" applyAlignment="1" applyProtection="1">
      <alignment horizontal="right" vertical="center" indent="1"/>
      <protection locked="0"/>
    </xf>
    <xf numFmtId="0" fontId="22" fillId="3" borderId="0" xfId="0" applyFont="1" applyFill="1" applyBorder="1" applyAlignment="1">
      <alignment vertical="top" wrapText="1"/>
    </xf>
    <xf numFmtId="0" fontId="31" fillId="5" borderId="0" xfId="0" applyFont="1" applyFill="1" applyAlignment="1" applyProtection="1">
      <alignment horizontal="left" vertical="center" indent="1"/>
    </xf>
    <xf numFmtId="0" fontId="43" fillId="5" borderId="0" xfId="0" applyFont="1" applyFill="1" applyBorder="1" applyAlignment="1" applyProtection="1"/>
    <xf numFmtId="0" fontId="31" fillId="5" borderId="0" xfId="0" applyFont="1" applyFill="1" applyAlignment="1" applyProtection="1">
      <protection locked="0"/>
    </xf>
    <xf numFmtId="0" fontId="14" fillId="3" borderId="0" xfId="0" applyFont="1" applyFill="1" applyAlignment="1">
      <alignment horizontal="left"/>
    </xf>
    <xf numFmtId="0" fontId="15" fillId="6" borderId="0" xfId="0" applyFont="1" applyFill="1" applyAlignment="1">
      <alignment horizontal="left"/>
    </xf>
    <xf numFmtId="0" fontId="15" fillId="5" borderId="0" xfId="0" applyFont="1" applyFill="1" applyAlignment="1" applyProtection="1">
      <alignment horizontal="left"/>
    </xf>
    <xf numFmtId="0" fontId="17" fillId="5" borderId="0" xfId="0" applyFont="1" applyFill="1" applyAlignment="1" applyProtection="1">
      <alignment vertical="center" wrapText="1"/>
    </xf>
    <xf numFmtId="0" fontId="44" fillId="5" borderId="0" xfId="1" applyFont="1" applyFill="1" applyAlignment="1" applyProtection="1">
      <alignment horizontal="left" vertical="center" wrapText="1"/>
    </xf>
    <xf numFmtId="0" fontId="25" fillId="5" borderId="0" xfId="0" applyFont="1" applyFill="1" applyBorder="1" applyAlignment="1" applyProtection="1">
      <alignment horizontal="left" vertical="top"/>
    </xf>
    <xf numFmtId="0" fontId="26" fillId="5" borderId="0" xfId="0" applyFont="1" applyFill="1" applyAlignment="1" applyProtection="1">
      <alignment horizontal="right" vertical="top"/>
    </xf>
    <xf numFmtId="0" fontId="17" fillId="3" borderId="0" xfId="0" applyFont="1" applyFill="1" applyAlignment="1" applyProtection="1">
      <alignment vertical="center" wrapText="1"/>
    </xf>
    <xf numFmtId="0" fontId="15" fillId="3" borderId="0" xfId="0" applyFont="1" applyFill="1" applyAlignment="1" applyProtection="1"/>
    <xf numFmtId="167" fontId="18" fillId="5" borderId="0" xfId="0" applyNumberFormat="1" applyFont="1" applyFill="1" applyAlignment="1" applyProtection="1">
      <alignment vertical="center"/>
    </xf>
    <xf numFmtId="0" fontId="15" fillId="5" borderId="0" xfId="0" applyFont="1" applyFill="1" applyBorder="1" applyAlignment="1" applyProtection="1">
      <alignment horizontal="left"/>
    </xf>
    <xf numFmtId="167" fontId="18" fillId="5" borderId="0" xfId="3" applyNumberFormat="1" applyFont="1" applyFill="1" applyAlignment="1" applyProtection="1">
      <alignment horizontal="left" vertical="center" indent="1"/>
    </xf>
    <xf numFmtId="167" fontId="24" fillId="5" borderId="0" xfId="0" applyNumberFormat="1" applyFont="1" applyFill="1" applyBorder="1" applyAlignment="1" applyProtection="1">
      <alignment horizontal="left" vertical="center"/>
    </xf>
    <xf numFmtId="0" fontId="20" fillId="5" borderId="0" xfId="0" applyFont="1" applyFill="1" applyAlignment="1" applyProtection="1">
      <alignment horizontal="left" vertical="center" wrapText="1"/>
    </xf>
    <xf numFmtId="0" fontId="17" fillId="3" borderId="0" xfId="0" applyFont="1" applyFill="1" applyBorder="1" applyAlignment="1">
      <alignment horizontal="left" vertical="center"/>
    </xf>
    <xf numFmtId="0" fontId="22" fillId="3" borderId="0" xfId="0" applyFont="1" applyFill="1" applyBorder="1" applyAlignment="1">
      <alignment horizontal="left" vertical="top" wrapText="1"/>
    </xf>
    <xf numFmtId="0" fontId="15" fillId="3" borderId="0" xfId="0" applyFont="1" applyFill="1" applyBorder="1" applyAlignment="1">
      <alignment horizontal="left"/>
    </xf>
    <xf numFmtId="0" fontId="37" fillId="3" borderId="0" xfId="0" applyFont="1" applyFill="1" applyBorder="1" applyAlignment="1">
      <alignment horizontal="left" vertical="center"/>
    </xf>
    <xf numFmtId="0" fontId="15" fillId="3" borderId="0" xfId="0" applyFont="1" applyFill="1" applyAlignment="1">
      <alignment horizontal="left"/>
    </xf>
    <xf numFmtId="0" fontId="15" fillId="5" borderId="0" xfId="0" applyFont="1" applyFill="1" applyAlignment="1">
      <alignment horizontal="left"/>
    </xf>
    <xf numFmtId="0" fontId="18" fillId="5" borderId="0" xfId="0" applyFont="1" applyFill="1" applyAlignment="1" applyProtection="1">
      <alignment vertical="center" wrapText="1"/>
    </xf>
    <xf numFmtId="0" fontId="18" fillId="5" borderId="0" xfId="0" applyFont="1" applyFill="1" applyAlignment="1" applyProtection="1">
      <alignment horizontal="left" vertical="center" wrapText="1"/>
    </xf>
    <xf numFmtId="0" fontId="24" fillId="5" borderId="0" xfId="0" applyFont="1" applyFill="1" applyAlignment="1" applyProtection="1"/>
    <xf numFmtId="168" fontId="24" fillId="5" borderId="2" xfId="0" applyNumberFormat="1" applyFont="1" applyFill="1" applyBorder="1" applyAlignment="1" applyProtection="1">
      <alignment vertical="center"/>
    </xf>
    <xf numFmtId="0" fontId="30" fillId="5" borderId="0" xfId="0" applyFont="1" applyFill="1" applyAlignment="1" applyProtection="1">
      <alignment vertical="center" wrapText="1"/>
    </xf>
    <xf numFmtId="0" fontId="45" fillId="5" borderId="0" xfId="1" applyFont="1" applyFill="1" applyAlignment="1" applyProtection="1">
      <alignment horizontal="left" vertical="center" wrapText="1"/>
    </xf>
    <xf numFmtId="0" fontId="46" fillId="5" borderId="0" xfId="0" applyFont="1" applyFill="1" applyBorder="1" applyAlignment="1" applyProtection="1">
      <alignment horizontal="left" vertical="top"/>
    </xf>
    <xf numFmtId="0" fontId="45" fillId="3" borderId="0" xfId="1" applyFont="1" applyFill="1" applyAlignment="1" applyProtection="1">
      <alignment horizontal="left" vertical="center" wrapText="1"/>
    </xf>
    <xf numFmtId="0" fontId="47" fillId="5" borderId="0" xfId="0" applyFont="1" applyFill="1" applyBorder="1" applyAlignment="1" applyProtection="1">
      <alignment horizontal="left"/>
    </xf>
    <xf numFmtId="167" fontId="48" fillId="5" borderId="0" xfId="0" applyNumberFormat="1" applyFont="1" applyFill="1" applyBorder="1" applyAlignment="1" applyProtection="1">
      <alignment horizontal="left" vertical="center"/>
    </xf>
    <xf numFmtId="0" fontId="47" fillId="5" borderId="0" xfId="0" applyFont="1" applyFill="1" applyAlignment="1" applyProtection="1">
      <alignment horizontal="left"/>
    </xf>
    <xf numFmtId="0" fontId="17" fillId="5" borderId="0" xfId="0" applyFont="1" applyFill="1" applyBorder="1" applyAlignment="1" applyProtection="1">
      <alignment vertical="center" wrapText="1"/>
    </xf>
    <xf numFmtId="167" fontId="18" fillId="5" borderId="0" xfId="0" applyNumberFormat="1" applyFont="1" applyFill="1" applyBorder="1" applyAlignment="1" applyProtection="1">
      <alignment vertical="center" wrapText="1"/>
    </xf>
    <xf numFmtId="0" fontId="18" fillId="5" borderId="0" xfId="0" applyFont="1" applyFill="1" applyBorder="1" applyAlignment="1" applyProtection="1">
      <alignment vertical="center" wrapText="1"/>
    </xf>
    <xf numFmtId="0" fontId="18" fillId="5" borderId="0" xfId="0" applyFont="1" applyFill="1" applyBorder="1" applyAlignment="1" applyProtection="1">
      <alignment horizontal="left" vertical="center" wrapText="1"/>
    </xf>
    <xf numFmtId="0" fontId="50" fillId="5" borderId="0" xfId="0" applyFont="1" applyFill="1" applyBorder="1" applyAlignment="1" applyProtection="1">
      <alignment horizontal="left" vertical="top" wrapText="1"/>
    </xf>
    <xf numFmtId="0" fontId="42" fillId="5" borderId="0" xfId="0" applyFont="1" applyFill="1" applyBorder="1" applyAlignment="1" applyProtection="1">
      <alignment horizontal="left"/>
    </xf>
    <xf numFmtId="0" fontId="42" fillId="0" borderId="0" xfId="0" applyFont="1" applyBorder="1" applyProtection="1"/>
    <xf numFmtId="0" fontId="42" fillId="0" borderId="0" xfId="0" applyFont="1" applyBorder="1" applyAlignment="1" applyProtection="1">
      <alignment horizontal="left"/>
    </xf>
    <xf numFmtId="0" fontId="42" fillId="5" borderId="0" xfId="0" applyFont="1" applyFill="1" applyBorder="1" applyProtection="1"/>
    <xf numFmtId="0" fontId="52" fillId="0" borderId="0" xfId="0" applyFont="1" applyBorder="1" applyProtection="1"/>
    <xf numFmtId="0" fontId="38" fillId="2" borderId="0" xfId="0" applyFont="1" applyFill="1" applyBorder="1" applyProtection="1"/>
    <xf numFmtId="0" fontId="38" fillId="2" borderId="0" xfId="0" applyFont="1" applyFill="1" applyBorder="1" applyAlignment="1" applyProtection="1">
      <alignment vertical="center"/>
    </xf>
    <xf numFmtId="0" fontId="14" fillId="12" borderId="0" xfId="0" applyFont="1" applyFill="1" applyBorder="1" applyAlignment="1" applyProtection="1">
      <alignment vertical="center"/>
    </xf>
    <xf numFmtId="0" fontId="14" fillId="13" borderId="0" xfId="0" applyFont="1" applyFill="1" applyBorder="1" applyAlignment="1" applyProtection="1">
      <alignment vertical="center"/>
    </xf>
    <xf numFmtId="0" fontId="42" fillId="0" borderId="0" xfId="0" applyFont="1" applyBorder="1" applyAlignment="1" applyProtection="1"/>
    <xf numFmtId="0" fontId="52" fillId="0" borderId="0" xfId="0" applyFont="1" applyBorder="1" applyAlignment="1" applyProtection="1"/>
    <xf numFmtId="0" fontId="25" fillId="5" borderId="0" xfId="0" applyFont="1" applyFill="1" applyBorder="1" applyAlignment="1" applyProtection="1">
      <alignment horizontal="right" vertical="top"/>
    </xf>
    <xf numFmtId="0" fontId="25" fillId="5" borderId="0" xfId="0" applyFont="1" applyFill="1" applyBorder="1" applyAlignment="1" applyProtection="1">
      <alignment horizontal="right" vertical="top"/>
    </xf>
    <xf numFmtId="0" fontId="18" fillId="3" borderId="0" xfId="3" applyNumberFormat="1" applyFont="1" applyFill="1" applyAlignment="1" applyProtection="1">
      <alignment horizontal="right" vertical="center" indent="1"/>
      <protection locked="0"/>
    </xf>
    <xf numFmtId="0" fontId="18" fillId="5" borderId="2" xfId="3" applyNumberFormat="1" applyFont="1" applyFill="1" applyBorder="1" applyAlignment="1" applyProtection="1">
      <alignment horizontal="right" vertical="center" indent="1"/>
    </xf>
    <xf numFmtId="0" fontId="25" fillId="5" borderId="0" xfId="0" applyFont="1" applyFill="1" applyBorder="1" applyAlignment="1" applyProtection="1">
      <alignment horizontal="right" vertical="top"/>
    </xf>
    <xf numFmtId="0" fontId="18" fillId="3" borderId="0" xfId="0" applyNumberFormat="1" applyFont="1" applyFill="1" applyBorder="1" applyAlignment="1" applyProtection="1">
      <alignment vertical="center" wrapText="1"/>
      <protection locked="0"/>
    </xf>
    <xf numFmtId="0" fontId="26" fillId="5" borderId="0" xfId="0" applyFont="1" applyFill="1" applyBorder="1" applyAlignment="1" applyProtection="1">
      <alignment horizontal="center" vertical="center" wrapText="1"/>
      <protection locked="0"/>
    </xf>
    <xf numFmtId="0" fontId="6" fillId="6" borderId="0" xfId="0" applyFont="1" applyFill="1" applyAlignment="1" applyProtection="1">
      <protection locked="0"/>
    </xf>
    <xf numFmtId="9" fontId="18" fillId="3" borderId="0" xfId="2" applyFont="1" applyFill="1" applyAlignment="1" applyProtection="1">
      <alignment horizontal="right" vertical="center" indent="1"/>
      <protection locked="0"/>
    </xf>
    <xf numFmtId="0" fontId="57" fillId="3" borderId="0" xfId="0" applyFont="1" applyFill="1" applyAlignment="1"/>
    <xf numFmtId="0" fontId="18" fillId="5" borderId="0" xfId="3" applyNumberFormat="1" applyFont="1" applyFill="1" applyAlignment="1" applyProtection="1">
      <alignment horizontal="right" vertical="center" indent="1"/>
    </xf>
    <xf numFmtId="167" fontId="15" fillId="5" borderId="0" xfId="0" applyNumberFormat="1" applyFont="1" applyFill="1" applyAlignment="1" applyProtection="1"/>
    <xf numFmtId="9" fontId="15" fillId="5" borderId="0" xfId="2" applyFont="1" applyFill="1" applyAlignment="1" applyProtection="1"/>
    <xf numFmtId="0" fontId="25" fillId="5" borderId="0" xfId="0" applyFont="1" applyFill="1" applyBorder="1" applyAlignment="1" applyProtection="1">
      <alignment horizontal="right" vertical="top"/>
    </xf>
    <xf numFmtId="0" fontId="61" fillId="5" borderId="0" xfId="0" applyFont="1" applyFill="1" applyBorder="1" applyAlignment="1" applyProtection="1">
      <alignment horizontal="center" vertical="center"/>
    </xf>
    <xf numFmtId="0" fontId="32" fillId="5" borderId="0" xfId="0" applyFont="1" applyFill="1" applyAlignment="1" applyProtection="1">
      <alignment horizontal="right" vertical="top"/>
    </xf>
    <xf numFmtId="0" fontId="18" fillId="5" borderId="0" xfId="0" applyFont="1" applyFill="1" applyAlignment="1" applyProtection="1"/>
    <xf numFmtId="0" fontId="32" fillId="5" borderId="0" xfId="0" applyFont="1" applyFill="1" applyBorder="1" applyAlignment="1" applyProtection="1">
      <alignment horizontal="right" vertical="top"/>
    </xf>
    <xf numFmtId="0" fontId="18" fillId="5" borderId="0" xfId="0" applyFont="1" applyFill="1" applyBorder="1" applyAlignment="1" applyProtection="1"/>
    <xf numFmtId="0" fontId="65" fillId="5" borderId="0" xfId="0" applyFont="1" applyFill="1" applyAlignment="1" applyProtection="1">
      <alignment horizontal="right" vertical="center"/>
    </xf>
    <xf numFmtId="0" fontId="66" fillId="5" borderId="0" xfId="0" applyFont="1" applyFill="1" applyAlignment="1" applyProtection="1">
      <alignment vertical="center" wrapText="1"/>
    </xf>
    <xf numFmtId="0" fontId="68" fillId="5" borderId="0" xfId="0" applyFont="1" applyFill="1" applyAlignment="1" applyProtection="1"/>
    <xf numFmtId="0" fontId="16" fillId="4" borderId="0" xfId="0" applyFont="1" applyFill="1" applyBorder="1" applyAlignment="1" applyProtection="1">
      <alignment horizontal="left" vertical="top" wrapText="1"/>
    </xf>
    <xf numFmtId="0" fontId="42" fillId="3" borderId="0" xfId="0" applyFont="1" applyFill="1" applyAlignment="1"/>
    <xf numFmtId="0" fontId="5" fillId="3" borderId="0" xfId="0" applyFont="1" applyFill="1" applyAlignment="1">
      <alignment vertical="center"/>
    </xf>
    <xf numFmtId="0" fontId="5" fillId="3" borderId="0" xfId="0" applyFont="1" applyFill="1" applyAlignment="1">
      <alignment horizontal="center"/>
    </xf>
    <xf numFmtId="0" fontId="52" fillId="3" borderId="0" xfId="0" applyFont="1" applyFill="1" applyAlignment="1"/>
    <xf numFmtId="0" fontId="52" fillId="3" borderId="0" xfId="0" applyFont="1" applyFill="1" applyBorder="1" applyAlignment="1"/>
    <xf numFmtId="0" fontId="52" fillId="3" borderId="0" xfId="0" applyFont="1" applyFill="1" applyBorder="1" applyAlignment="1">
      <alignment horizontal="right"/>
    </xf>
    <xf numFmtId="0" fontId="52" fillId="3" borderId="0" xfId="0" applyFont="1" applyFill="1" applyAlignment="1" applyProtection="1"/>
    <xf numFmtId="0" fontId="52" fillId="3" borderId="0" xfId="0" applyNumberFormat="1" applyFont="1" applyFill="1" applyAlignment="1"/>
    <xf numFmtId="9" fontId="18" fillId="5" borderId="0" xfId="2" applyFont="1" applyFill="1" applyBorder="1" applyAlignment="1" applyProtection="1">
      <alignment horizontal="right" vertical="center" indent="1"/>
    </xf>
    <xf numFmtId="9" fontId="15" fillId="5" borderId="0" xfId="2" applyFont="1" applyFill="1" applyBorder="1" applyAlignment="1" applyProtection="1">
      <alignment horizontal="right"/>
    </xf>
    <xf numFmtId="0" fontId="16" fillId="4" borderId="0" xfId="0" applyFont="1" applyFill="1" applyBorder="1" applyAlignment="1">
      <alignment horizontal="left" vertical="top" wrapText="1"/>
    </xf>
    <xf numFmtId="0" fontId="16" fillId="2" borderId="0" xfId="0" applyFont="1" applyFill="1" applyBorder="1" applyAlignment="1">
      <alignment horizontal="left" vertical="top" wrapText="1"/>
    </xf>
    <xf numFmtId="9" fontId="14" fillId="3" borderId="0" xfId="2" applyFont="1" applyFill="1" applyAlignment="1" applyProtection="1"/>
    <xf numFmtId="0" fontId="15" fillId="5" borderId="0" xfId="0" applyFont="1" applyFill="1" applyBorder="1" applyAlignment="1" applyProtection="1">
      <alignment horizontal="right"/>
    </xf>
    <xf numFmtId="167" fontId="18" fillId="5" borderId="0" xfId="3" applyNumberFormat="1" applyFont="1" applyFill="1" applyBorder="1" applyAlignment="1" applyProtection="1">
      <alignment horizontal="right" vertical="center" indent="1"/>
    </xf>
    <xf numFmtId="0" fontId="36" fillId="3" borderId="0" xfId="0" applyFont="1" applyFill="1" applyAlignment="1"/>
    <xf numFmtId="0" fontId="74" fillId="4" borderId="0" xfId="0" applyFont="1" applyFill="1" applyBorder="1" applyAlignment="1">
      <alignment horizontal="left" vertical="top" wrapText="1"/>
    </xf>
    <xf numFmtId="0" fontId="0" fillId="0" borderId="0" xfId="0" applyFont="1" applyAlignment="1">
      <alignment horizontal="center" vertical="center" wrapText="1"/>
    </xf>
    <xf numFmtId="0" fontId="16" fillId="3" borderId="0" xfId="0" applyFont="1" applyFill="1" applyBorder="1" applyAlignment="1"/>
    <xf numFmtId="0" fontId="16" fillId="3" borderId="0" xfId="0" applyFont="1" applyFill="1" applyBorder="1" applyAlignment="1">
      <alignment horizontal="right"/>
    </xf>
    <xf numFmtId="0" fontId="16" fillId="3" borderId="0" xfId="0" applyNumberFormat="1" applyFont="1" applyFill="1" applyAlignment="1"/>
    <xf numFmtId="0" fontId="16" fillId="3" borderId="0" xfId="0" applyNumberFormat="1" applyFont="1" applyFill="1" applyBorder="1" applyAlignment="1"/>
    <xf numFmtId="0" fontId="16" fillId="3" borderId="0" xfId="0" applyNumberFormat="1" applyFont="1" applyFill="1" applyBorder="1" applyAlignment="1">
      <alignment horizontal="right"/>
    </xf>
    <xf numFmtId="3" fontId="16" fillId="3" borderId="0" xfId="0" applyNumberFormat="1" applyFont="1" applyFill="1" applyBorder="1" applyAlignment="1">
      <alignment horizontal="right"/>
    </xf>
    <xf numFmtId="9" fontId="16" fillId="3" borderId="0" xfId="2" applyFont="1" applyFill="1" applyBorder="1" applyAlignment="1">
      <alignment horizontal="right"/>
    </xf>
    <xf numFmtId="9" fontId="16" fillId="3" borderId="0" xfId="2" applyFont="1" applyFill="1" applyAlignment="1"/>
    <xf numFmtId="0" fontId="16" fillId="3" borderId="0" xfId="2" applyNumberFormat="1" applyFont="1" applyFill="1" applyBorder="1" applyAlignment="1">
      <alignment horizontal="right"/>
    </xf>
    <xf numFmtId="0" fontId="16" fillId="3" borderId="0" xfId="2" applyNumberFormat="1" applyFont="1" applyFill="1" applyBorder="1" applyAlignment="1"/>
    <xf numFmtId="0" fontId="16" fillId="3" borderId="0" xfId="0" applyNumberFormat="1" applyFont="1" applyFill="1" applyBorder="1" applyAlignment="1">
      <alignment horizontal="left"/>
    </xf>
    <xf numFmtId="169" fontId="16" fillId="3" borderId="0" xfId="4" applyNumberFormat="1" applyFont="1" applyFill="1" applyBorder="1" applyAlignment="1">
      <alignment horizontal="right"/>
    </xf>
    <xf numFmtId="3" fontId="16" fillId="3" borderId="0" xfId="0" applyNumberFormat="1" applyFont="1" applyFill="1" applyAlignment="1"/>
    <xf numFmtId="169" fontId="16" fillId="3" borderId="0" xfId="4" applyNumberFormat="1" applyFont="1" applyFill="1" applyAlignment="1"/>
    <xf numFmtId="3" fontId="16" fillId="3" borderId="0" xfId="0" applyNumberFormat="1" applyFont="1" applyFill="1" applyBorder="1" applyAlignment="1"/>
    <xf numFmtId="9" fontId="16" fillId="3" borderId="0" xfId="2" applyFont="1" applyFill="1" applyBorder="1" applyAlignment="1"/>
    <xf numFmtId="0" fontId="21" fillId="3" borderId="0" xfId="0" applyNumberFormat="1" applyFont="1" applyFill="1" applyBorder="1" applyAlignment="1"/>
    <xf numFmtId="0" fontId="21" fillId="3" borderId="0" xfId="0" applyNumberFormat="1" applyFont="1" applyFill="1" applyBorder="1" applyAlignment="1">
      <alignment horizontal="center"/>
    </xf>
    <xf numFmtId="0" fontId="21" fillId="3" borderId="0" xfId="0" applyNumberFormat="1" applyFont="1" applyFill="1" applyBorder="1" applyAlignment="1">
      <alignment horizontal="right"/>
    </xf>
    <xf numFmtId="0" fontId="21" fillId="3" borderId="0" xfId="0" applyNumberFormat="1" applyFont="1" applyFill="1" applyAlignment="1"/>
    <xf numFmtId="0" fontId="21" fillId="3" borderId="0" xfId="0" applyFont="1" applyFill="1" applyAlignment="1"/>
    <xf numFmtId="0" fontId="16" fillId="3" borderId="0" xfId="0" applyNumberFormat="1" applyFont="1" applyFill="1" applyBorder="1" applyAlignment="1">
      <alignment horizontal="center"/>
    </xf>
    <xf numFmtId="169" fontId="21" fillId="3" borderId="0" xfId="4" applyNumberFormat="1" applyFont="1" applyFill="1" applyAlignment="1"/>
    <xf numFmtId="3" fontId="21" fillId="3" borderId="0" xfId="0" applyNumberFormat="1" applyFont="1" applyFill="1" applyBorder="1" applyAlignment="1">
      <alignment horizontal="right"/>
    </xf>
    <xf numFmtId="3" fontId="16" fillId="3" borderId="0" xfId="0" applyNumberFormat="1" applyFont="1" applyFill="1" applyBorder="1" applyAlignment="1">
      <alignment horizontal="left"/>
    </xf>
    <xf numFmtId="0" fontId="16" fillId="4" borderId="0" xfId="0" applyNumberFormat="1" applyFont="1" applyFill="1" applyBorder="1" applyAlignment="1">
      <alignment vertical="top" wrapText="1"/>
    </xf>
    <xf numFmtId="9" fontId="18" fillId="3" borderId="0" xfId="2" applyFont="1" applyFill="1" applyBorder="1" applyAlignment="1" applyProtection="1">
      <alignment horizontal="right" vertical="center" wrapText="1" indent="1"/>
      <protection locked="0"/>
    </xf>
    <xf numFmtId="9" fontId="19" fillId="3" borderId="0" xfId="2" applyFont="1" applyFill="1" applyBorder="1" applyAlignment="1" applyProtection="1">
      <alignment horizontal="right" vertical="center" wrapText="1"/>
      <protection locked="0"/>
    </xf>
    <xf numFmtId="9" fontId="18" fillId="3" borderId="0" xfId="3" applyNumberFormat="1" applyFont="1" applyFill="1" applyBorder="1" applyAlignment="1" applyProtection="1">
      <alignment horizontal="right" vertical="center" wrapText="1" indent="1"/>
      <protection locked="0"/>
    </xf>
    <xf numFmtId="0" fontId="25" fillId="5" borderId="0" xfId="0" applyFont="1" applyFill="1" applyBorder="1" applyAlignment="1" applyProtection="1">
      <alignment horizontal="right" vertical="top"/>
    </xf>
    <xf numFmtId="0" fontId="3" fillId="2" borderId="0" xfId="0" applyFont="1" applyFill="1" applyBorder="1" applyAlignment="1">
      <alignment horizontal="left" vertical="top" wrapText="1"/>
    </xf>
    <xf numFmtId="0" fontId="3" fillId="4" borderId="0" xfId="0" applyFont="1" applyFill="1" applyBorder="1" applyAlignment="1">
      <alignment horizontal="left" vertical="top" wrapText="1"/>
    </xf>
    <xf numFmtId="0" fontId="24" fillId="3" borderId="0" xfId="0" applyFont="1" applyFill="1" applyAlignment="1" applyProtection="1">
      <alignment horizontal="right" vertical="center"/>
      <protection locked="0"/>
    </xf>
    <xf numFmtId="0" fontId="12" fillId="5" borderId="0" xfId="0" applyFont="1" applyFill="1" applyAlignment="1">
      <alignment horizontal="center" vertical="center"/>
    </xf>
    <xf numFmtId="0" fontId="8" fillId="3" borderId="0" xfId="0" applyFont="1" applyFill="1" applyAlignment="1" applyProtection="1">
      <alignment horizontal="left" vertical="top" wrapText="1" indent="1"/>
      <protection locked="0"/>
    </xf>
    <xf numFmtId="0" fontId="7" fillId="5" borderId="0" xfId="0" applyFont="1" applyFill="1" applyAlignment="1">
      <alignment horizontal="right" vertical="top" wrapText="1"/>
    </xf>
    <xf numFmtId="0" fontId="17" fillId="5" borderId="0" xfId="0" applyFont="1" applyFill="1" applyAlignment="1" applyProtection="1">
      <alignment horizontal="right" vertical="center" wrapText="1"/>
    </xf>
    <xf numFmtId="0" fontId="17" fillId="3" borderId="0" xfId="0" applyFont="1" applyFill="1" applyAlignment="1">
      <alignment horizontal="center" vertical="center" wrapText="1"/>
    </xf>
    <xf numFmtId="0" fontId="15" fillId="5" borderId="0" xfId="0" applyFont="1" applyFill="1" applyAlignment="1">
      <alignment horizontal="right" vertical="top" wrapText="1"/>
    </xf>
    <xf numFmtId="0" fontId="15" fillId="5" borderId="0" xfId="0" applyFont="1" applyFill="1" applyAlignment="1">
      <alignment horizontal="left" vertical="top"/>
    </xf>
    <xf numFmtId="0" fontId="15" fillId="5" borderId="0" xfId="0" applyFont="1" applyFill="1" applyAlignment="1">
      <alignment horizontal="right" vertical="top"/>
    </xf>
    <xf numFmtId="0" fontId="15" fillId="5" borderId="0" xfId="0" applyFont="1" applyFill="1" applyAlignment="1">
      <alignment horizontal="left" vertical="top" wrapText="1"/>
    </xf>
    <xf numFmtId="0" fontId="15" fillId="5" borderId="0" xfId="0" applyFont="1" applyFill="1" applyAlignment="1">
      <alignment horizontal="center" vertical="top"/>
    </xf>
    <xf numFmtId="0" fontId="22" fillId="5" borderId="0" xfId="0" applyFont="1" applyFill="1" applyBorder="1" applyAlignment="1">
      <alignment horizontal="left" vertical="top" wrapText="1"/>
    </xf>
    <xf numFmtId="0" fontId="72" fillId="5" borderId="0" xfId="0" applyFont="1" applyFill="1" applyAlignment="1">
      <alignment horizontal="right" vertical="top"/>
    </xf>
    <xf numFmtId="0" fontId="17" fillId="5" borderId="0" xfId="0" applyFont="1" applyFill="1" applyBorder="1" applyAlignment="1">
      <alignment horizontal="right" vertical="top" wrapText="1"/>
    </xf>
    <xf numFmtId="0" fontId="17" fillId="5" borderId="0" xfId="0" applyFont="1" applyFill="1" applyAlignment="1">
      <alignment horizontal="right" vertical="top" wrapText="1"/>
    </xf>
    <xf numFmtId="0" fontId="23" fillId="5" borderId="0" xfId="0" applyFont="1" applyFill="1" applyAlignment="1">
      <alignment horizontal="center" vertical="center"/>
    </xf>
    <xf numFmtId="0" fontId="23" fillId="5" borderId="0" xfId="0" applyFont="1" applyFill="1" applyAlignment="1" applyProtection="1">
      <alignment horizontal="center" vertical="center"/>
    </xf>
    <xf numFmtId="0" fontId="17" fillId="5" borderId="0" xfId="0" applyFont="1" applyFill="1" applyAlignment="1">
      <alignment horizontal="left" vertical="top" wrapText="1" indent="1"/>
    </xf>
    <xf numFmtId="0" fontId="18" fillId="3" borderId="0" xfId="0" applyFont="1" applyFill="1" applyAlignment="1" applyProtection="1">
      <alignment horizontal="left" vertical="top" wrapText="1"/>
      <protection locked="0"/>
    </xf>
    <xf numFmtId="0" fontId="22" fillId="5" borderId="0" xfId="0" applyFont="1" applyFill="1" applyAlignment="1">
      <alignment horizontal="left" vertical="center" wrapText="1" indent="1"/>
    </xf>
    <xf numFmtId="0" fontId="18" fillId="3" borderId="0" xfId="0" applyFont="1" applyFill="1" applyAlignment="1" applyProtection="1">
      <alignment horizontal="left" vertical="top" wrapText="1" indent="1"/>
      <protection locked="0"/>
    </xf>
    <xf numFmtId="0" fontId="18" fillId="3" borderId="0" xfId="0" applyFont="1" applyFill="1" applyAlignment="1" applyProtection="1">
      <alignment horizontal="left" vertical="center"/>
      <protection locked="0"/>
    </xf>
    <xf numFmtId="0" fontId="17" fillId="5" borderId="0" xfId="0" applyFont="1" applyFill="1" applyBorder="1" applyAlignment="1">
      <alignment horizontal="right" wrapText="1"/>
    </xf>
    <xf numFmtId="0" fontId="30" fillId="5" borderId="0" xfId="0" applyFont="1" applyFill="1" applyAlignment="1" applyProtection="1">
      <alignment horizontal="right" vertical="top" wrapText="1"/>
    </xf>
    <xf numFmtId="0" fontId="35" fillId="5" borderId="0" xfId="0" quotePrefix="1" applyFont="1" applyFill="1" applyAlignment="1" applyProtection="1">
      <alignment vertical="top" wrapText="1"/>
    </xf>
    <xf numFmtId="0" fontId="35" fillId="5" borderId="0" xfId="0" applyFont="1" applyFill="1" applyAlignment="1" applyProtection="1">
      <alignment vertical="top" wrapText="1"/>
    </xf>
    <xf numFmtId="0" fontId="35" fillId="7" borderId="0" xfId="0" quotePrefix="1" applyFont="1" applyFill="1" applyAlignment="1" applyProtection="1">
      <alignment vertical="top" wrapText="1"/>
    </xf>
    <xf numFmtId="0" fontId="35" fillId="7" borderId="0" xfId="0" applyFont="1" applyFill="1" applyAlignment="1" applyProtection="1">
      <alignment vertical="top" wrapText="1"/>
    </xf>
    <xf numFmtId="0" fontId="34" fillId="7" borderId="0" xfId="0" applyFont="1" applyFill="1" applyAlignment="1" applyProtection="1">
      <alignment horizontal="right" vertical="top" wrapText="1"/>
    </xf>
    <xf numFmtId="0" fontId="34" fillId="5" borderId="0" xfId="0" applyFont="1" applyFill="1" applyAlignment="1" applyProtection="1">
      <alignment horizontal="right" vertical="top" wrapText="1"/>
    </xf>
    <xf numFmtId="0" fontId="30" fillId="5" borderId="1" xfId="0" applyFont="1" applyFill="1" applyBorder="1" applyAlignment="1" applyProtection="1">
      <alignment horizontal="right" vertical="center"/>
    </xf>
    <xf numFmtId="0" fontId="16" fillId="4" borderId="0" xfId="0" applyFont="1" applyFill="1" applyBorder="1" applyAlignment="1" applyProtection="1">
      <alignment horizontal="left" vertical="top" wrapText="1"/>
    </xf>
    <xf numFmtId="0" fontId="30" fillId="5" borderId="1" xfId="0" applyFont="1" applyFill="1" applyBorder="1" applyAlignment="1" applyProtection="1">
      <alignment horizontal="center" vertical="center"/>
    </xf>
    <xf numFmtId="0" fontId="25" fillId="5" borderId="0" xfId="0" applyFont="1" applyFill="1" applyAlignment="1" applyProtection="1">
      <alignment horizontal="right" vertical="top"/>
    </xf>
    <xf numFmtId="0" fontId="30" fillId="5" borderId="2" xfId="0" applyFont="1" applyFill="1" applyBorder="1" applyAlignment="1" applyProtection="1">
      <alignment horizontal="right" wrapText="1"/>
      <protection locked="0"/>
    </xf>
    <xf numFmtId="0" fontId="19" fillId="3" borderId="0" xfId="0" applyNumberFormat="1" applyFont="1" applyFill="1" applyBorder="1" applyAlignment="1" applyProtection="1">
      <alignment horizontal="left" vertical="top" wrapText="1" indent="1"/>
      <protection locked="0"/>
    </xf>
    <xf numFmtId="0" fontId="19" fillId="3" borderId="0" xfId="0" applyNumberFormat="1" applyFont="1" applyFill="1" applyBorder="1" applyAlignment="1" applyProtection="1">
      <alignment horizontal="left" vertical="top" indent="1"/>
      <protection locked="0"/>
    </xf>
    <xf numFmtId="0" fontId="17" fillId="5" borderId="0" xfId="0" applyFont="1" applyFill="1" applyBorder="1" applyAlignment="1" applyProtection="1">
      <alignment horizontal="right" vertical="center" wrapText="1"/>
    </xf>
    <xf numFmtId="167" fontId="18" fillId="5" borderId="0" xfId="0" applyNumberFormat="1" applyFont="1" applyFill="1" applyAlignment="1" applyProtection="1">
      <alignment horizontal="center" vertical="center"/>
      <protection locked="0"/>
    </xf>
    <xf numFmtId="0" fontId="32" fillId="5" borderId="0" xfId="0" quotePrefix="1" applyFont="1" applyFill="1" applyAlignment="1" applyProtection="1">
      <alignment horizontal="left" vertical="center" wrapText="1"/>
      <protection locked="0"/>
    </xf>
    <xf numFmtId="0" fontId="0" fillId="5" borderId="0" xfId="0" applyFont="1" applyFill="1" applyAlignment="1">
      <alignment horizontal="left"/>
    </xf>
    <xf numFmtId="0" fontId="16" fillId="4" borderId="0" xfId="0" applyFont="1" applyFill="1" applyBorder="1" applyAlignment="1">
      <alignment horizontal="left" vertical="top" wrapText="1"/>
    </xf>
    <xf numFmtId="0" fontId="30" fillId="3" borderId="0" xfId="0" applyFont="1" applyFill="1" applyBorder="1" applyAlignment="1">
      <alignment horizontal="right" vertical="top" wrapText="1"/>
    </xf>
    <xf numFmtId="0" fontId="22" fillId="3" borderId="0" xfId="0" applyFont="1" applyFill="1" applyBorder="1" applyAlignment="1">
      <alignment vertical="top" wrapText="1"/>
    </xf>
    <xf numFmtId="0" fontId="17" fillId="3" borderId="0" xfId="0" applyFont="1" applyFill="1" applyBorder="1" applyAlignment="1">
      <alignment horizontal="right" vertical="center"/>
    </xf>
    <xf numFmtId="0" fontId="17" fillId="3" borderId="0" xfId="0" applyFont="1" applyFill="1" applyBorder="1" applyAlignment="1">
      <alignment horizontal="center" vertical="center"/>
    </xf>
    <xf numFmtId="0" fontId="23" fillId="3" borderId="0" xfId="0" applyFont="1" applyFill="1" applyAlignment="1" applyProtection="1">
      <alignment horizontal="center" vertical="center"/>
    </xf>
    <xf numFmtId="0" fontId="17" fillId="5" borderId="0" xfId="0" applyFont="1" applyFill="1" applyBorder="1" applyAlignment="1" applyProtection="1">
      <alignment horizontal="left" vertical="center" wrapText="1"/>
    </xf>
    <xf numFmtId="0" fontId="60" fillId="5" borderId="0" xfId="0" quotePrefix="1" applyFont="1" applyFill="1" applyBorder="1" applyAlignment="1" applyProtection="1">
      <alignment horizontal="left" vertical="top" wrapText="1" indent="1"/>
    </xf>
    <xf numFmtId="0" fontId="22" fillId="5" borderId="0" xfId="0" applyFont="1" applyFill="1" applyBorder="1" applyAlignment="1" applyProtection="1">
      <alignment horizontal="left" vertical="top" wrapText="1" indent="1"/>
    </xf>
    <xf numFmtId="0" fontId="22" fillId="5" borderId="0" xfId="0" quotePrefix="1" applyFont="1" applyFill="1" applyBorder="1" applyAlignment="1" applyProtection="1">
      <alignment horizontal="left" vertical="top" wrapText="1" indent="1"/>
    </xf>
    <xf numFmtId="0" fontId="60" fillId="5" borderId="0" xfId="0" quotePrefix="1" applyFont="1" applyFill="1" applyBorder="1" applyAlignment="1" applyProtection="1">
      <alignment horizontal="left" vertical="top" wrapText="1"/>
    </xf>
    <xf numFmtId="0" fontId="22" fillId="5" borderId="0" xfId="0" applyFont="1" applyFill="1" applyBorder="1" applyAlignment="1" applyProtection="1">
      <alignment horizontal="left" vertical="top" wrapText="1"/>
    </xf>
    <xf numFmtId="0" fontId="0" fillId="0" borderId="0" xfId="0" applyFont="1" applyAlignment="1"/>
    <xf numFmtId="0" fontId="32" fillId="5" borderId="0" xfId="0" applyFont="1" applyFill="1" applyAlignment="1" applyProtection="1">
      <alignment horizontal="center" vertical="center" wrapText="1"/>
      <protection locked="0"/>
    </xf>
    <xf numFmtId="0" fontId="0" fillId="5" borderId="0" xfId="0" applyFont="1" applyFill="1" applyAlignment="1">
      <alignment horizontal="center" vertical="center" wrapText="1"/>
    </xf>
    <xf numFmtId="0" fontId="17" fillId="5" borderId="0" xfId="0" applyFont="1" applyFill="1" applyAlignment="1">
      <alignment horizontal="right" vertical="center" wrapText="1"/>
    </xf>
    <xf numFmtId="0" fontId="23" fillId="3" borderId="0" xfId="0" applyFont="1" applyFill="1" applyAlignment="1">
      <alignment horizontal="center" vertical="center"/>
    </xf>
    <xf numFmtId="0" fontId="15" fillId="5" borderId="0" xfId="0" applyFont="1" applyFill="1" applyAlignment="1" applyProtection="1">
      <alignment horizontal="left" vertical="top" wrapText="1"/>
    </xf>
    <xf numFmtId="0" fontId="16" fillId="3" borderId="0" xfId="0" applyNumberFormat="1" applyFont="1" applyFill="1" applyBorder="1" applyAlignment="1">
      <alignment horizontal="center"/>
    </xf>
    <xf numFmtId="0" fontId="18" fillId="5" borderId="0" xfId="0" applyFont="1" applyFill="1" applyAlignment="1" applyProtection="1">
      <alignment horizontal="left" vertical="center" wrapText="1"/>
    </xf>
    <xf numFmtId="0" fontId="18" fillId="3" borderId="0" xfId="0" applyFont="1" applyFill="1" applyAlignment="1" applyProtection="1">
      <alignment horizontal="left" vertical="center" wrapText="1"/>
    </xf>
    <xf numFmtId="0" fontId="66" fillId="5" borderId="0" xfId="0" applyFont="1" applyFill="1" applyAlignment="1" applyProtection="1">
      <alignment horizontal="left" vertical="center" wrapText="1" indent="1"/>
    </xf>
    <xf numFmtId="0" fontId="17" fillId="5" borderId="0" xfId="0" applyFont="1" applyFill="1" applyAlignment="1" applyProtection="1">
      <alignment horizontal="center" vertical="center" wrapText="1"/>
    </xf>
    <xf numFmtId="0" fontId="30" fillId="5" borderId="0" xfId="0" applyFont="1" applyFill="1" applyAlignment="1" applyProtection="1">
      <alignment horizontal="left" vertical="center" wrapText="1" indent="1"/>
    </xf>
    <xf numFmtId="167" fontId="18" fillId="5" borderId="2" xfId="0" applyNumberFormat="1" applyFont="1" applyFill="1" applyBorder="1" applyAlignment="1" applyProtection="1">
      <alignment horizontal="right" vertical="center"/>
    </xf>
    <xf numFmtId="0" fontId="25" fillId="5" borderId="0" xfId="0" applyFont="1" applyFill="1" applyBorder="1" applyAlignment="1" applyProtection="1">
      <alignment horizontal="right" vertical="top"/>
    </xf>
    <xf numFmtId="0" fontId="49" fillId="9" borderId="0" xfId="0" applyFont="1" applyFill="1" applyBorder="1" applyAlignment="1" applyProtection="1">
      <alignment horizontal="center" vertical="center"/>
    </xf>
    <xf numFmtId="0" fontId="48" fillId="5" borderId="0" xfId="0" applyFont="1" applyFill="1" applyBorder="1" applyAlignment="1" applyProtection="1">
      <alignment vertical="center"/>
    </xf>
    <xf numFmtId="0" fontId="50" fillId="10" borderId="0" xfId="0" applyFont="1" applyFill="1" applyBorder="1" applyAlignment="1" applyProtection="1">
      <alignment horizontal="left" vertical="top" wrapText="1"/>
    </xf>
    <xf numFmtId="0" fontId="50" fillId="5" borderId="0" xfId="0" applyFont="1" applyFill="1" applyBorder="1" applyProtection="1"/>
    <xf numFmtId="0" fontId="50" fillId="5" borderId="0" xfId="0" applyFont="1" applyFill="1" applyBorder="1" applyAlignment="1" applyProtection="1">
      <alignment horizontal="left" vertical="top" wrapText="1"/>
    </xf>
    <xf numFmtId="0" fontId="53" fillId="11" borderId="0" xfId="0" applyFont="1" applyFill="1" applyBorder="1" applyAlignment="1" applyProtection="1">
      <alignment horizontal="center"/>
    </xf>
    <xf numFmtId="0" fontId="53" fillId="11" borderId="0" xfId="0" applyFont="1" applyFill="1" applyBorder="1" applyAlignment="1" applyProtection="1">
      <alignment horizontal="center" vertical="center" textRotation="90" wrapText="1"/>
    </xf>
    <xf numFmtId="0" fontId="50" fillId="8" borderId="0" xfId="0" applyFont="1" applyFill="1" applyBorder="1" applyAlignment="1" applyProtection="1">
      <alignment horizontal="left" vertical="center" wrapText="1"/>
    </xf>
    <xf numFmtId="0" fontId="50" fillId="0" borderId="0" xfId="0" applyFont="1" applyBorder="1" applyAlignment="1" applyProtection="1">
      <alignment horizontal="left" vertical="center"/>
    </xf>
    <xf numFmtId="0" fontId="54" fillId="0" borderId="0" xfId="0" applyFont="1" applyBorder="1" applyAlignment="1" applyProtection="1">
      <alignment horizontal="left" wrapText="1"/>
    </xf>
    <xf numFmtId="0" fontId="50" fillId="8" borderId="0" xfId="0" applyFont="1" applyFill="1" applyBorder="1" applyAlignment="1" applyProtection="1">
      <alignment horizontal="left" vertical="top" wrapText="1"/>
    </xf>
    <xf numFmtId="0" fontId="50" fillId="0" borderId="0" xfId="0" applyFont="1" applyBorder="1" applyProtection="1"/>
  </cellXfs>
  <cellStyles count="5">
    <cellStyle name="Komma" xfId="4" builtinId="3"/>
    <cellStyle name="Link" xfId="1" builtinId="8"/>
    <cellStyle name="Prozent" xfId="2" builtinId="5"/>
    <cellStyle name="Standard" xfId="0" builtinId="0"/>
    <cellStyle name="Währung" xfId="3" builtinId="4"/>
  </cellStyles>
  <dxfs count="375">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font>
        <b val="0"/>
        <i val="0"/>
        <strike val="0"/>
        <condense val="0"/>
        <extend val="0"/>
        <outline val="0"/>
        <shadow val="0"/>
        <u val="none"/>
        <vertAlign val="baseline"/>
        <sz val="10"/>
        <color theme="0" tint="-4.9989318521683403E-2"/>
        <name val="Arial"/>
        <family val="2"/>
        <scheme val="major"/>
      </font>
      <fill>
        <patternFill patternType="solid">
          <fgColor indexed="64"/>
          <bgColor theme="0" tint="-4.9989318521683403E-2"/>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alignment horizontal="right" vertical="bottom" textRotation="0" wrapText="0" indent="0" justifyLastLine="0" shrinkToFit="0" readingOrder="0"/>
    </dxf>
    <dxf>
      <font>
        <strike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dxf>
    <dxf>
      <font>
        <strike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dxf>
    <dxf>
      <font>
        <b val="0"/>
        <i val="0"/>
        <strike val="0"/>
        <condense val="0"/>
        <extend val="0"/>
        <outline val="0"/>
        <shadow val="0"/>
        <u val="none"/>
        <vertAlign val="baseline"/>
        <sz val="10"/>
        <color theme="0" tint="-4.9989318521683403E-2"/>
        <name val="Arial"/>
        <family val="2"/>
        <scheme val="major"/>
      </font>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alignment horizontal="right" vertical="bottom" textRotation="0" wrapText="0" indent="0" justifyLastLine="0" shrinkToFit="0" readingOrder="0"/>
    </dxf>
    <dxf>
      <font>
        <strike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dxf>
    <dxf>
      <font>
        <strike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alignment horizontal="left" vertical="bottom" textRotation="0" wrapText="0" indent="0" justifyLastLine="0" shrinkToFit="0" readingOrder="0"/>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s>
  <tableStyles count="1" defaultTableStyle="TableStyleMedium2" defaultPivotStyle="PivotStyleLight16">
    <tableStyle name="Table Style 1" pivot="0" count="0" xr9:uid="{965E8338-A04D-4308-8C22-FB419389AC39}"/>
  </tableStyles>
  <colors>
    <mruColors>
      <color rgb="FF17948C"/>
      <color rgb="FF000000"/>
      <color rgb="FFFFA600"/>
      <color rgb="FFF2F2F2"/>
      <color rgb="FF665191"/>
      <color rgb="FF444E86"/>
      <color rgb="FF003F5C"/>
      <color rgb="FFEF5675"/>
      <color rgb="FFFF6361"/>
      <color rgb="FFBC50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Cash flow during the time horizon</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manualLayout>
          <c:layoutTarget val="inner"/>
          <c:xMode val="edge"/>
          <c:yMode val="edge"/>
          <c:x val="9.917454520737233E-2"/>
          <c:y val="0.1596121994038894"/>
          <c:w val="0.89021713333709918"/>
          <c:h val="0.6793796579103063"/>
        </c:manualLayout>
      </c:layout>
      <c:barChart>
        <c:barDir val="col"/>
        <c:grouping val="stacked"/>
        <c:varyColors val="0"/>
        <c:ser>
          <c:idx val="2"/>
          <c:order val="1"/>
          <c:tx>
            <c:strRef>
              <c:f>'5-Assessment'!$T$77</c:f>
              <c:strCache>
                <c:ptCount val="1"/>
                <c:pt idx="0">
                  <c:v>Cash outflow</c:v>
                </c:pt>
              </c:strCache>
            </c:strRef>
          </c:tx>
          <c:spPr>
            <a:solidFill>
              <a:srgbClr val="F54952"/>
            </a:solidFill>
            <a:ln>
              <a:noFill/>
            </a:ln>
            <a:effectLst/>
          </c:spPr>
          <c:invertIfNegative val="0"/>
          <c:val>
            <c:numRef>
              <c:f>'5-Assessment'!$T$78:$T$88</c:f>
              <c:numCache>
                <c:formatCode>#,##0</c:formatCode>
                <c:ptCount val="11"/>
                <c:pt idx="0">
                  <c:v>-577100</c:v>
                </c:pt>
                <c:pt idx="1">
                  <c:v>-893677</c:v>
                </c:pt>
                <c:pt idx="2">
                  <c:v>-983044.70000000007</c:v>
                </c:pt>
                <c:pt idx="3">
                  <c:v>-1081349.1700000002</c:v>
                </c:pt>
                <c:pt idx="4">
                  <c:v>-1189484.0870000003</c:v>
                </c:pt>
                <c:pt idx="5">
                  <c:v>-1308432.4957000003</c:v>
                </c:pt>
                <c:pt idx="6">
                  <c:v>-1439275.7452700005</c:v>
                </c:pt>
                <c:pt idx="7">
                  <c:v>-1583203.3197970006</c:v>
                </c:pt>
                <c:pt idx="8">
                  <c:v>-1741523.6517767007</c:v>
                </c:pt>
                <c:pt idx="9">
                  <c:v>-1915676.016954371</c:v>
                </c:pt>
                <c:pt idx="10">
                  <c:v>-2107243.6186498082</c:v>
                </c:pt>
              </c:numCache>
            </c:numRef>
          </c:val>
          <c:extLst>
            <c:ext xmlns:c16="http://schemas.microsoft.com/office/drawing/2014/chart" uri="{C3380CC4-5D6E-409C-BE32-E72D297353CC}">
              <c16:uniqueId val="{00000003-0F79-4397-A90A-84D8287C23C3}"/>
            </c:ext>
          </c:extLst>
        </c:ser>
        <c:ser>
          <c:idx val="3"/>
          <c:order val="2"/>
          <c:tx>
            <c:strRef>
              <c:f>'5-Assessment'!$S$77</c:f>
              <c:strCache>
                <c:ptCount val="1"/>
                <c:pt idx="0">
                  <c:v>Cash inflow</c:v>
                </c:pt>
              </c:strCache>
            </c:strRef>
          </c:tx>
          <c:spPr>
            <a:solidFill>
              <a:srgbClr val="C2CF67"/>
            </a:solidFill>
            <a:ln>
              <a:noFill/>
            </a:ln>
            <a:effectLst/>
          </c:spPr>
          <c:invertIfNegative val="0"/>
          <c:val>
            <c:numRef>
              <c:f>'5-Assessment'!$S$78:$S$88</c:f>
              <c:numCache>
                <c:formatCode>#,##0</c:formatCode>
                <c:ptCount val="11"/>
                <c:pt idx="0">
                  <c:v>0</c:v>
                </c:pt>
                <c:pt idx="1">
                  <c:v>5010260</c:v>
                </c:pt>
                <c:pt idx="2">
                  <c:v>5511286</c:v>
                </c:pt>
                <c:pt idx="3">
                  <c:v>6062414.6000000006</c:v>
                </c:pt>
                <c:pt idx="4">
                  <c:v>6668656.0600000015</c:v>
                </c:pt>
                <c:pt idx="5">
                  <c:v>7335521.6660000021</c:v>
                </c:pt>
                <c:pt idx="6">
                  <c:v>8069073.8326000031</c:v>
                </c:pt>
                <c:pt idx="7">
                  <c:v>8875981.2158600036</c:v>
                </c:pt>
                <c:pt idx="8">
                  <c:v>9763579.3374460042</c:v>
                </c:pt>
                <c:pt idx="9">
                  <c:v>10739937.271190606</c:v>
                </c:pt>
                <c:pt idx="10">
                  <c:v>11813930.998309668</c:v>
                </c:pt>
              </c:numCache>
            </c:numRef>
          </c:val>
          <c:extLst>
            <c:ext xmlns:c16="http://schemas.microsoft.com/office/drawing/2014/chart" uri="{C3380CC4-5D6E-409C-BE32-E72D297353CC}">
              <c16:uniqueId val="{00000004-0F79-4397-A90A-84D8287C23C3}"/>
            </c:ext>
          </c:extLst>
        </c:ser>
        <c:dLbls>
          <c:showLegendKey val="0"/>
          <c:showVal val="0"/>
          <c:showCatName val="0"/>
          <c:showSerName val="0"/>
          <c:showPercent val="0"/>
          <c:showBubbleSize val="0"/>
        </c:dLbls>
        <c:gapWidth val="150"/>
        <c:overlap val="100"/>
        <c:axId val="621858672"/>
        <c:axId val="621859000"/>
      </c:barChart>
      <c:lineChart>
        <c:grouping val="standard"/>
        <c:varyColors val="0"/>
        <c:ser>
          <c:idx val="1"/>
          <c:order val="0"/>
          <c:tx>
            <c:strRef>
              <c:f>'5-Assessment'!$U$77</c:f>
              <c:strCache>
                <c:ptCount val="1"/>
                <c:pt idx="0">
                  <c:v>Cashflow</c:v>
                </c:pt>
              </c:strCache>
            </c:strRef>
          </c:tx>
          <c:spPr>
            <a:ln w="28575" cap="rnd">
              <a:solidFill>
                <a:srgbClr val="17948C"/>
              </a:solidFill>
              <a:round/>
            </a:ln>
            <a:effectLst/>
          </c:spPr>
          <c:marker>
            <c:symbol val="none"/>
          </c:marker>
          <c:dLbls>
            <c:numFmt formatCode="#,##0,&quot;k&quot;" sourceLinked="0"/>
            <c:spPr>
              <a:solidFill>
                <a:schemeClr val="bg1"/>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Calibri Light" panose="020F030202020403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'5-Assessment'!$R$78:$R$88</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[0]!CashFlow</c:f>
              <c:numCache>
                <c:formatCode>#,##0</c:formatCode>
                <c:ptCount val="11"/>
                <c:pt idx="0">
                  <c:v>-577100</c:v>
                </c:pt>
                <c:pt idx="1">
                  <c:v>4116583</c:v>
                </c:pt>
                <c:pt idx="2">
                  <c:v>4528241.3</c:v>
                </c:pt>
                <c:pt idx="3">
                  <c:v>4981065.4300000006</c:v>
                </c:pt>
                <c:pt idx="4">
                  <c:v>5479171.9730000012</c:v>
                </c:pt>
                <c:pt idx="5">
                  <c:v>6027089.1703000013</c:v>
                </c:pt>
                <c:pt idx="6">
                  <c:v>6629798.0873300023</c:v>
                </c:pt>
                <c:pt idx="7">
                  <c:v>7292777.8960630028</c:v>
                </c:pt>
                <c:pt idx="8">
                  <c:v>8022055.6856693029</c:v>
                </c:pt>
                <c:pt idx="9">
                  <c:v>8824261.2542362344</c:v>
                </c:pt>
                <c:pt idx="10">
                  <c:v>9706687.3796598595</c:v>
                </c:pt>
              </c:numCache>
            </c:numRef>
          </c:val>
          <c:smooth val="0"/>
          <c:extLst>
            <c:ext xmlns:c16="http://schemas.microsoft.com/office/drawing/2014/chart" uri="{C3380CC4-5D6E-409C-BE32-E72D297353CC}">
              <c16:uniqueId val="{00000002-0F79-4397-A90A-84D8287C23C3}"/>
            </c:ext>
          </c:extLst>
        </c:ser>
        <c:dLbls>
          <c:showLegendKey val="0"/>
          <c:showVal val="0"/>
          <c:showCatName val="0"/>
          <c:showSerName val="0"/>
          <c:showPercent val="0"/>
          <c:showBubbleSize val="0"/>
        </c:dLbls>
        <c:marker val="1"/>
        <c:smooth val="0"/>
        <c:axId val="621858672"/>
        <c:axId val="621859000"/>
      </c:lineChart>
      <c:catAx>
        <c:axId val="621858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9000"/>
        <c:crosses val="autoZero"/>
        <c:auto val="1"/>
        <c:lblAlgn val="ctr"/>
        <c:lblOffset val="100"/>
        <c:noMultiLvlLbl val="0"/>
      </c:catAx>
      <c:valAx>
        <c:axId val="621859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8672"/>
        <c:crosses val="autoZero"/>
        <c:crossBetween val="between"/>
      </c:valAx>
      <c:spPr>
        <a:noFill/>
        <a:ln>
          <a:noFill/>
        </a:ln>
        <a:effectLst/>
      </c:spPr>
    </c:plotArea>
    <c:legend>
      <c:legendPos val="b"/>
      <c:layout>
        <c:manualLayout>
          <c:xMode val="edge"/>
          <c:yMode val="edge"/>
          <c:x val="0.22568120649593909"/>
          <c:y val="0.90902323299785059"/>
          <c:w val="0.54863758700812182"/>
          <c:h val="7.413909968197358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Cumulative cash flow</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barChart>
        <c:barDir val="col"/>
        <c:grouping val="clustered"/>
        <c:varyColors val="0"/>
        <c:ser>
          <c:idx val="0"/>
          <c:order val="0"/>
          <c:tx>
            <c:strRef>
              <c:f>'5-Assessment'!$V$77</c:f>
              <c:strCache>
                <c:ptCount val="1"/>
                <c:pt idx="0">
                  <c:v>Cumulative Cashflow</c:v>
                </c:pt>
              </c:strCache>
            </c:strRef>
          </c:tx>
          <c:spPr>
            <a:solidFill>
              <a:schemeClr val="accent1"/>
            </a:solidFill>
            <a:ln>
              <a:noFill/>
            </a:ln>
            <a:effectLst/>
          </c:spPr>
          <c:invertIfNegative val="0"/>
          <c:cat>
            <c:numRef>
              <c:f>'5-Assessment'!$R$78:$R$88</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'5-Assessment'!$V$78:$V$88</c:f>
              <c:numCache>
                <c:formatCode>#,##0</c:formatCode>
                <c:ptCount val="11"/>
                <c:pt idx="0">
                  <c:v>-577100</c:v>
                </c:pt>
                <c:pt idx="1">
                  <c:v>3539483</c:v>
                </c:pt>
                <c:pt idx="2">
                  <c:v>8067724.2999999998</c:v>
                </c:pt>
                <c:pt idx="3">
                  <c:v>13048789.73</c:v>
                </c:pt>
                <c:pt idx="4">
                  <c:v>18527961.703000002</c:v>
                </c:pt>
                <c:pt idx="5">
                  <c:v>24555050.873300001</c:v>
                </c:pt>
                <c:pt idx="6">
                  <c:v>31184848.960630003</c:v>
                </c:pt>
                <c:pt idx="7">
                  <c:v>38477626.856693007</c:v>
                </c:pt>
                <c:pt idx="8">
                  <c:v>46499682.54236231</c:v>
                </c:pt>
                <c:pt idx="9">
                  <c:v>55323943.796598546</c:v>
                </c:pt>
                <c:pt idx="10">
                  <c:v>65030631.176258408</c:v>
                </c:pt>
              </c:numCache>
            </c:numRef>
          </c:val>
          <c:extLst>
            <c:ext xmlns:c16="http://schemas.microsoft.com/office/drawing/2014/chart" uri="{C3380CC4-5D6E-409C-BE32-E72D297353CC}">
              <c16:uniqueId val="{0000000C-D7C0-4DEC-9A9F-34BBAF5EC752}"/>
            </c:ext>
          </c:extLst>
        </c:ser>
        <c:dLbls>
          <c:showLegendKey val="0"/>
          <c:showVal val="0"/>
          <c:showCatName val="0"/>
          <c:showSerName val="0"/>
          <c:showPercent val="0"/>
          <c:showBubbleSize val="0"/>
        </c:dLbls>
        <c:gapWidth val="158"/>
        <c:overlap val="-27"/>
        <c:axId val="537770592"/>
        <c:axId val="537772232"/>
        <c:extLst>
          <c:ext xmlns:c15="http://schemas.microsoft.com/office/drawing/2012/chart" uri="{02D57815-91ED-43cb-92C2-25804820EDAC}">
            <c15:filteredBarSeries>
              <c15:ser>
                <c:idx val="1"/>
                <c:order val="1"/>
                <c:spPr>
                  <a:solidFill>
                    <a:schemeClr val="accent2"/>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E-D7C0-4DEC-9A9F-34BBAF5EC752}"/>
                  </c:ext>
                </c:extLst>
              </c15:ser>
            </c15:filteredBarSeries>
            <c15:filteredBarSeries>
              <c15:ser>
                <c:idx val="2"/>
                <c:order val="2"/>
                <c:spPr>
                  <a:solidFill>
                    <a:schemeClr val="accent3"/>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10-D7C0-4DEC-9A9F-34BBAF5EC752}"/>
                  </c:ext>
                </c:extLst>
              </c15:ser>
            </c15:filteredBarSeries>
            <c15:filteredBarSeries>
              <c15:ser>
                <c:idx val="3"/>
                <c:order val="3"/>
                <c:spPr>
                  <a:solidFill>
                    <a:schemeClr val="accent4"/>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12-D7C0-4DEC-9A9F-34BBAF5EC752}"/>
                  </c:ext>
                </c:extLst>
              </c15:ser>
            </c15:filteredBarSeries>
            <c15:filteredBarSeries>
              <c15:ser>
                <c:idx val="4"/>
                <c:order val="4"/>
                <c:spPr>
                  <a:solidFill>
                    <a:schemeClr val="accent5"/>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14-D7C0-4DEC-9A9F-34BBAF5EC752}"/>
                  </c:ext>
                </c:extLst>
              </c15:ser>
            </c15:filteredBarSeries>
            <c15:filteredBarSeries>
              <c15:ser>
                <c:idx val="5"/>
                <c:order val="5"/>
                <c:spPr>
                  <a:solidFill>
                    <a:schemeClr val="accent6"/>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16-D7C0-4DEC-9A9F-34BBAF5EC752}"/>
                  </c:ext>
                </c:extLst>
              </c15:ser>
            </c15:filteredBarSeries>
            <c15:filteredBarSeries>
              <c15:ser>
                <c:idx val="6"/>
                <c:order val="6"/>
                <c:spPr>
                  <a:solidFill>
                    <a:schemeClr val="accent1">
                      <a:lumMod val="6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18-D7C0-4DEC-9A9F-34BBAF5EC752}"/>
                  </c:ext>
                </c:extLst>
              </c15:ser>
            </c15:filteredBarSeries>
          </c:ext>
        </c:extLst>
      </c:barChart>
      <c:catAx>
        <c:axId val="537770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537772232"/>
        <c:crosses val="autoZero"/>
        <c:auto val="1"/>
        <c:lblAlgn val="ctr"/>
        <c:lblOffset val="100"/>
        <c:noMultiLvlLbl val="0"/>
      </c:catAx>
      <c:valAx>
        <c:axId val="537772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537770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Cash inflow all cases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manualLayout>
          <c:layoutTarget val="inner"/>
          <c:xMode val="edge"/>
          <c:yMode val="edge"/>
          <c:x val="9.917454520737233E-2"/>
          <c:y val="0.1596121994038894"/>
          <c:w val="0.89021713333709918"/>
          <c:h val="0.66017483135186772"/>
        </c:manualLayout>
      </c:layout>
      <c:barChart>
        <c:barDir val="col"/>
        <c:grouping val="clustered"/>
        <c:varyColors val="0"/>
        <c:ser>
          <c:idx val="3"/>
          <c:order val="0"/>
          <c:tx>
            <c:strRef>
              <c:f>'5-Assessment'!$S$38</c:f>
              <c:strCache>
                <c:ptCount val="1"/>
                <c:pt idx="0">
                  <c:v>Cash inflow (Best case)</c:v>
                </c:pt>
              </c:strCache>
            </c:strRef>
          </c:tx>
          <c:spPr>
            <a:solidFill>
              <a:srgbClr val="C2CF67"/>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'5-Assessment'!$S$39:$S$49</c:f>
              <c:numCache>
                <c:formatCode>#,##0</c:formatCode>
                <c:ptCount val="11"/>
                <c:pt idx="0">
                  <c:v>0</c:v>
                </c:pt>
                <c:pt idx="1">
                  <c:v>5010260</c:v>
                </c:pt>
                <c:pt idx="2">
                  <c:v>5511286</c:v>
                </c:pt>
                <c:pt idx="3">
                  <c:v>6062414.6000000006</c:v>
                </c:pt>
                <c:pt idx="4">
                  <c:v>6668656.0600000015</c:v>
                </c:pt>
                <c:pt idx="5">
                  <c:v>7335521.6660000021</c:v>
                </c:pt>
                <c:pt idx="6">
                  <c:v>8069073.8326000031</c:v>
                </c:pt>
                <c:pt idx="7">
                  <c:v>8875981.2158600036</c:v>
                </c:pt>
                <c:pt idx="8">
                  <c:v>9763579.3374460042</c:v>
                </c:pt>
                <c:pt idx="9">
                  <c:v>10739937.271190606</c:v>
                </c:pt>
                <c:pt idx="10">
                  <c:v>11813930.998309668</c:v>
                </c:pt>
              </c:numCache>
            </c:numRef>
          </c:val>
          <c:extLst>
            <c:ext xmlns:c16="http://schemas.microsoft.com/office/drawing/2014/chart" uri="{C3380CC4-5D6E-409C-BE32-E72D297353CC}">
              <c16:uniqueId val="{00000004-0F79-4397-A90A-84D8287C23C3}"/>
            </c:ext>
          </c:extLst>
        </c:ser>
        <c:ser>
          <c:idx val="0"/>
          <c:order val="1"/>
          <c:tx>
            <c:strRef>
              <c:f>'5-Assessment'!$W$38</c:f>
              <c:strCache>
                <c:ptCount val="1"/>
                <c:pt idx="0">
                  <c:v>Cash inflow (Average case)</c:v>
                </c:pt>
              </c:strCache>
            </c:strRef>
          </c:tx>
          <c:spPr>
            <a:solidFill>
              <a:schemeClr val="accent1"/>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'5-Assessment'!$W$39:$W$49</c:f>
              <c:numCache>
                <c:formatCode>#,##0</c:formatCode>
                <c:ptCount val="11"/>
                <c:pt idx="0">
                  <c:v>0</c:v>
                </c:pt>
                <c:pt idx="1">
                  <c:v>4099800</c:v>
                </c:pt>
                <c:pt idx="2">
                  <c:v>4407285</c:v>
                </c:pt>
                <c:pt idx="3">
                  <c:v>4737831.375</c:v>
                </c:pt>
                <c:pt idx="4">
                  <c:v>5093168.7281249994</c:v>
                </c:pt>
                <c:pt idx="5">
                  <c:v>5475156.3827343741</c:v>
                </c:pt>
                <c:pt idx="6">
                  <c:v>5885793.1114394516</c:v>
                </c:pt>
                <c:pt idx="7">
                  <c:v>6327227.5947974101</c:v>
                </c:pt>
                <c:pt idx="8">
                  <c:v>6801769.6644072151</c:v>
                </c:pt>
                <c:pt idx="9">
                  <c:v>7311902.3892377559</c:v>
                </c:pt>
                <c:pt idx="10">
                  <c:v>7860295.0684305876</c:v>
                </c:pt>
              </c:numCache>
            </c:numRef>
          </c:val>
          <c:extLst>
            <c:ext xmlns:c16="http://schemas.microsoft.com/office/drawing/2014/chart" uri="{C3380CC4-5D6E-409C-BE32-E72D297353CC}">
              <c16:uniqueId val="{00000001-717C-43C9-A65F-188D09FB0411}"/>
            </c:ext>
          </c:extLst>
        </c:ser>
        <c:ser>
          <c:idx val="1"/>
          <c:order val="2"/>
          <c:tx>
            <c:strRef>
              <c:f>'5-Assessment'!$AA$38</c:f>
              <c:strCache>
                <c:ptCount val="1"/>
                <c:pt idx="0">
                  <c:v>Cash inflow (Worst case)</c:v>
                </c:pt>
              </c:strCache>
            </c:strRef>
          </c:tx>
          <c:spPr>
            <a:solidFill>
              <a:schemeClr val="accent2"/>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'5-Assessment'!$AA$39:$AA$49</c:f>
              <c:numCache>
                <c:formatCode>#,##0</c:formatCode>
                <c:ptCount val="11"/>
                <c:pt idx="0">
                  <c:v>0</c:v>
                </c:pt>
                <c:pt idx="1">
                  <c:v>3189340</c:v>
                </c:pt>
                <c:pt idx="2">
                  <c:v>3348807</c:v>
                </c:pt>
                <c:pt idx="3">
                  <c:v>3516247.35</c:v>
                </c:pt>
                <c:pt idx="4">
                  <c:v>3692059.7175000003</c:v>
                </c:pt>
                <c:pt idx="5">
                  <c:v>3876662.7033750005</c:v>
                </c:pt>
                <c:pt idx="6">
                  <c:v>4070495.8385437508</c:v>
                </c:pt>
                <c:pt idx="7">
                  <c:v>4274020.630470939</c:v>
                </c:pt>
                <c:pt idx="8">
                  <c:v>4487721.6619944861</c:v>
                </c:pt>
                <c:pt idx="9">
                  <c:v>4712107.7450942108</c:v>
                </c:pt>
                <c:pt idx="10">
                  <c:v>4947713.1323489211</c:v>
                </c:pt>
              </c:numCache>
            </c:numRef>
          </c:val>
          <c:extLst>
            <c:ext xmlns:c16="http://schemas.microsoft.com/office/drawing/2014/chart" uri="{C3380CC4-5D6E-409C-BE32-E72D297353CC}">
              <c16:uniqueId val="{00000002-717C-43C9-A65F-188D09FB0411}"/>
            </c:ext>
          </c:extLst>
        </c:ser>
        <c:dLbls>
          <c:showLegendKey val="0"/>
          <c:showVal val="0"/>
          <c:showCatName val="0"/>
          <c:showSerName val="0"/>
          <c:showPercent val="0"/>
          <c:showBubbleSize val="0"/>
        </c:dLbls>
        <c:gapWidth val="150"/>
        <c:axId val="621858672"/>
        <c:axId val="621859000"/>
      </c:barChart>
      <c:catAx>
        <c:axId val="62185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9000"/>
        <c:crosses val="autoZero"/>
        <c:auto val="1"/>
        <c:lblAlgn val="ctr"/>
        <c:lblOffset val="100"/>
        <c:noMultiLvlLbl val="0"/>
      </c:catAx>
      <c:valAx>
        <c:axId val="621859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Cash outflow all cases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manualLayout>
          <c:layoutTarget val="inner"/>
          <c:xMode val="edge"/>
          <c:yMode val="edge"/>
          <c:x val="9.917454520737233E-2"/>
          <c:y val="0.2049378912098351"/>
          <c:w val="0.89021713333709918"/>
          <c:h val="0.61484906579552379"/>
        </c:manualLayout>
      </c:layout>
      <c:barChart>
        <c:barDir val="col"/>
        <c:grouping val="clustered"/>
        <c:varyColors val="0"/>
        <c:ser>
          <c:idx val="3"/>
          <c:order val="0"/>
          <c:tx>
            <c:strRef>
              <c:f>'5-Assessment'!$T$38</c:f>
              <c:strCache>
                <c:ptCount val="1"/>
                <c:pt idx="0">
                  <c:v>Cash outflow (Best case)</c:v>
                </c:pt>
              </c:strCache>
            </c:strRef>
          </c:tx>
          <c:spPr>
            <a:solidFill>
              <a:srgbClr val="C2CF67"/>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'5-Assessment'!$T$39:$T$49</c:f>
              <c:numCache>
                <c:formatCode>#,##0</c:formatCode>
                <c:ptCount val="11"/>
                <c:pt idx="0">
                  <c:v>-577100</c:v>
                </c:pt>
                <c:pt idx="1">
                  <c:v>-893677</c:v>
                </c:pt>
                <c:pt idx="2">
                  <c:v>-983044.70000000007</c:v>
                </c:pt>
                <c:pt idx="3">
                  <c:v>-1081349.1700000002</c:v>
                </c:pt>
                <c:pt idx="4">
                  <c:v>-1189484.0870000003</c:v>
                </c:pt>
                <c:pt idx="5">
                  <c:v>-1308432.4957000003</c:v>
                </c:pt>
                <c:pt idx="6">
                  <c:v>-1439275.7452700005</c:v>
                </c:pt>
                <c:pt idx="7">
                  <c:v>-1583203.3197970006</c:v>
                </c:pt>
                <c:pt idx="8">
                  <c:v>-1741523.6517767007</c:v>
                </c:pt>
                <c:pt idx="9">
                  <c:v>-1915676.016954371</c:v>
                </c:pt>
                <c:pt idx="10">
                  <c:v>-2107243.6186498082</c:v>
                </c:pt>
              </c:numCache>
            </c:numRef>
          </c:val>
          <c:extLst>
            <c:ext xmlns:c16="http://schemas.microsoft.com/office/drawing/2014/chart" uri="{C3380CC4-5D6E-409C-BE32-E72D297353CC}">
              <c16:uniqueId val="{00000004-0F79-4397-A90A-84D8287C23C3}"/>
            </c:ext>
          </c:extLst>
        </c:ser>
        <c:ser>
          <c:idx val="0"/>
          <c:order val="1"/>
          <c:tx>
            <c:strRef>
              <c:f>'5-Assessment'!$X$38</c:f>
              <c:strCache>
                <c:ptCount val="1"/>
                <c:pt idx="0">
                  <c:v>Cash outflow (Average case)</c:v>
                </c:pt>
              </c:strCache>
            </c:strRef>
          </c:tx>
          <c:spPr>
            <a:solidFill>
              <a:schemeClr val="accent1"/>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'5-Assessment'!$X$39:$X$49</c:f>
              <c:numCache>
                <c:formatCode>#,##0</c:formatCode>
                <c:ptCount val="11"/>
                <c:pt idx="0">
                  <c:v>-721375</c:v>
                </c:pt>
                <c:pt idx="1">
                  <c:v>-1117096.5</c:v>
                </c:pt>
                <c:pt idx="2">
                  <c:v>-1256733.5625</c:v>
                </c:pt>
                <c:pt idx="3">
                  <c:v>-1413825.2578125</c:v>
                </c:pt>
                <c:pt idx="4">
                  <c:v>-1590553.4150390625</c:v>
                </c:pt>
                <c:pt idx="5">
                  <c:v>-1789372.5919189453</c:v>
                </c:pt>
                <c:pt idx="6">
                  <c:v>-2013044.1659088135</c:v>
                </c:pt>
                <c:pt idx="7">
                  <c:v>-2264674.6866474152</c:v>
                </c:pt>
                <c:pt idx="8">
                  <c:v>-2547759.0224783421</c:v>
                </c:pt>
                <c:pt idx="9">
                  <c:v>-2866228.9002881348</c:v>
                </c:pt>
                <c:pt idx="10">
                  <c:v>-3224507.5128241517</c:v>
                </c:pt>
              </c:numCache>
            </c:numRef>
          </c:val>
          <c:extLst>
            <c:ext xmlns:c16="http://schemas.microsoft.com/office/drawing/2014/chart" uri="{C3380CC4-5D6E-409C-BE32-E72D297353CC}">
              <c16:uniqueId val="{00000001-717C-43C9-A65F-188D09FB0411}"/>
            </c:ext>
          </c:extLst>
        </c:ser>
        <c:ser>
          <c:idx val="1"/>
          <c:order val="2"/>
          <c:tx>
            <c:strRef>
              <c:f>'5-Assessment'!$AB$38</c:f>
              <c:strCache>
                <c:ptCount val="1"/>
                <c:pt idx="0">
                  <c:v>Cash outflow (Worst case)</c:v>
                </c:pt>
              </c:strCache>
            </c:strRef>
          </c:tx>
          <c:spPr>
            <a:solidFill>
              <a:schemeClr val="accent2"/>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'5-Assessment'!$AB$39:$AB$49</c:f>
              <c:numCache>
                <c:formatCode>#,##0</c:formatCode>
                <c:ptCount val="11"/>
                <c:pt idx="0">
                  <c:v>-865650</c:v>
                </c:pt>
                <c:pt idx="1">
                  <c:v>-1340516</c:v>
                </c:pt>
                <c:pt idx="2">
                  <c:v>-1541593.4</c:v>
                </c:pt>
                <c:pt idx="3">
                  <c:v>-1772832.4099999997</c:v>
                </c:pt>
                <c:pt idx="4">
                  <c:v>-2038757.2714999996</c:v>
                </c:pt>
                <c:pt idx="5">
                  <c:v>-2344570.8622249993</c:v>
                </c:pt>
                <c:pt idx="6">
                  <c:v>-2696256.4915587492</c:v>
                </c:pt>
                <c:pt idx="7">
                  <c:v>-3100694.9652925613</c:v>
                </c:pt>
                <c:pt idx="8">
                  <c:v>-3565799.2100864453</c:v>
                </c:pt>
                <c:pt idx="9">
                  <c:v>-4100669.0915994118</c:v>
                </c:pt>
                <c:pt idx="10">
                  <c:v>-4715769.4553393228</c:v>
                </c:pt>
              </c:numCache>
            </c:numRef>
          </c:val>
          <c:extLst>
            <c:ext xmlns:c16="http://schemas.microsoft.com/office/drawing/2014/chart" uri="{C3380CC4-5D6E-409C-BE32-E72D297353CC}">
              <c16:uniqueId val="{00000002-717C-43C9-A65F-188D09FB0411}"/>
            </c:ext>
          </c:extLst>
        </c:ser>
        <c:dLbls>
          <c:showLegendKey val="0"/>
          <c:showVal val="0"/>
          <c:showCatName val="0"/>
          <c:showSerName val="0"/>
          <c:showPercent val="0"/>
          <c:showBubbleSize val="0"/>
        </c:dLbls>
        <c:gapWidth val="150"/>
        <c:axId val="621858672"/>
        <c:axId val="621859000"/>
      </c:barChart>
      <c:catAx>
        <c:axId val="621858672"/>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9000"/>
        <c:crosses val="autoZero"/>
        <c:auto val="1"/>
        <c:lblAlgn val="ctr"/>
        <c:lblOffset val="100"/>
        <c:noMultiLvlLbl val="0"/>
      </c:catAx>
      <c:valAx>
        <c:axId val="621859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Development/investment costs</a:t>
            </a:r>
          </a:p>
        </c:rich>
      </c:tx>
      <c:layout>
        <c:manualLayout>
          <c:xMode val="edge"/>
          <c:yMode val="edge"/>
          <c:x val="0.18061497288567885"/>
          <c:y val="5.0581689428426911E-2"/>
        </c:manualLayout>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doughnutChart>
        <c:varyColors val="1"/>
        <c:ser>
          <c:idx val="0"/>
          <c:order val="0"/>
          <c:tx>
            <c:strRef>
              <c:f>'5-Assessment'!$T$9</c:f>
              <c:strCache>
                <c:ptCount val="1"/>
                <c:pt idx="0">
                  <c:v>%</c:v>
                </c:pt>
              </c:strCache>
            </c:strRef>
          </c:tx>
          <c:dPt>
            <c:idx val="0"/>
            <c:bubble3D val="0"/>
            <c:spPr>
              <a:solidFill>
                <a:srgbClr val="EF5675"/>
              </a:solidFill>
              <a:ln w="19050">
                <a:solidFill>
                  <a:schemeClr val="lt1"/>
                </a:solidFill>
              </a:ln>
              <a:effectLst/>
            </c:spPr>
            <c:extLst>
              <c:ext xmlns:c16="http://schemas.microsoft.com/office/drawing/2014/chart" uri="{C3380CC4-5D6E-409C-BE32-E72D297353CC}">
                <c16:uniqueId val="{00000002-499A-4368-BAAF-4EF8476402E3}"/>
              </c:ext>
            </c:extLst>
          </c:dPt>
          <c:dPt>
            <c:idx val="1"/>
            <c:bubble3D val="0"/>
            <c:spPr>
              <a:solidFill>
                <a:srgbClr val="003F5C"/>
              </a:solidFill>
              <a:ln w="19050">
                <a:solidFill>
                  <a:schemeClr val="lt1"/>
                </a:solidFill>
              </a:ln>
              <a:effectLst/>
            </c:spPr>
            <c:extLst>
              <c:ext xmlns:c16="http://schemas.microsoft.com/office/drawing/2014/chart" uri="{C3380CC4-5D6E-409C-BE32-E72D297353CC}">
                <c16:uniqueId val="{00000003-499A-4368-BAAF-4EF8476402E3}"/>
              </c:ext>
            </c:extLst>
          </c:dPt>
          <c:dPt>
            <c:idx val="2"/>
            <c:bubble3D val="0"/>
            <c:spPr>
              <a:solidFill>
                <a:srgbClr val="BC5090"/>
              </a:solidFill>
              <a:ln w="19050">
                <a:solidFill>
                  <a:schemeClr val="lt1"/>
                </a:solidFill>
              </a:ln>
              <a:effectLst/>
            </c:spPr>
            <c:extLst>
              <c:ext xmlns:c16="http://schemas.microsoft.com/office/drawing/2014/chart" uri="{C3380CC4-5D6E-409C-BE32-E72D297353CC}">
                <c16:uniqueId val="{00000004-499A-4368-BAAF-4EF8476402E3}"/>
              </c:ext>
            </c:extLst>
          </c:dPt>
          <c:dPt>
            <c:idx val="3"/>
            <c:bubble3D val="0"/>
            <c:spPr>
              <a:solidFill>
                <a:srgbClr val="FF6361"/>
              </a:solidFill>
              <a:ln w="19050">
                <a:solidFill>
                  <a:schemeClr val="lt1"/>
                </a:solidFill>
              </a:ln>
              <a:effectLst/>
            </c:spPr>
            <c:extLst>
              <c:ext xmlns:c16="http://schemas.microsoft.com/office/drawing/2014/chart" uri="{C3380CC4-5D6E-409C-BE32-E72D297353CC}">
                <c16:uniqueId val="{00000005-499A-4368-BAAF-4EF8476402E3}"/>
              </c:ext>
            </c:extLst>
          </c:dPt>
          <c:dPt>
            <c:idx val="4"/>
            <c:bubble3D val="0"/>
            <c:spPr>
              <a:solidFill>
                <a:srgbClr val="FFA600"/>
              </a:solidFill>
              <a:ln w="19050">
                <a:solidFill>
                  <a:schemeClr val="lt1"/>
                </a:solidFill>
              </a:ln>
              <a:effectLst/>
            </c:spPr>
            <c:extLst>
              <c:ext xmlns:c16="http://schemas.microsoft.com/office/drawing/2014/chart" uri="{C3380CC4-5D6E-409C-BE32-E72D297353CC}">
                <c16:uniqueId val="{00000006-499A-4368-BAAF-4EF8476402E3}"/>
              </c:ext>
            </c:extLst>
          </c:dPt>
          <c:dPt>
            <c:idx val="5"/>
            <c:bubble3D val="0"/>
            <c:spPr>
              <a:solidFill>
                <a:srgbClr val="444E86"/>
              </a:solidFill>
              <a:ln w="19050">
                <a:solidFill>
                  <a:schemeClr val="lt1"/>
                </a:solidFill>
              </a:ln>
              <a:effectLst/>
            </c:spPr>
            <c:extLst>
              <c:ext xmlns:c16="http://schemas.microsoft.com/office/drawing/2014/chart" uri="{C3380CC4-5D6E-409C-BE32-E72D297353CC}">
                <c16:uniqueId val="{00000007-499A-4368-BAAF-4EF8476402E3}"/>
              </c:ext>
            </c:extLst>
          </c:dPt>
          <c:dPt>
            <c:idx val="6"/>
            <c:bubble3D val="0"/>
            <c:spPr>
              <a:solidFill>
                <a:srgbClr val="665191"/>
              </a:solidFill>
              <a:ln w="19050">
                <a:solidFill>
                  <a:schemeClr val="lt1"/>
                </a:solidFill>
              </a:ln>
              <a:effectLst/>
            </c:spPr>
            <c:extLst>
              <c:ext xmlns:c16="http://schemas.microsoft.com/office/drawing/2014/chart" uri="{C3380CC4-5D6E-409C-BE32-E72D297353CC}">
                <c16:uniqueId val="{00000008-499A-4368-BAAF-4EF8476402E3}"/>
              </c:ext>
            </c:extLst>
          </c:dPt>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j-lt"/>
                    <a:ea typeface="+mn-ea"/>
                    <a:cs typeface="Calibri Light" panose="020F0302020204030204" pitchFamily="34" charset="0"/>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'5-Assessment'!$R$10:$R$16</c:f>
              <c:strCache>
                <c:ptCount val="7"/>
                <c:pt idx="0">
                  <c:v>Ideation &amp; scoping</c:v>
                </c:pt>
                <c:pt idx="1">
                  <c:v>Exploration</c:v>
                </c:pt>
                <c:pt idx="2">
                  <c:v>Development, validation, and testing</c:v>
                </c:pt>
                <c:pt idx="3">
                  <c:v>Deployment</c:v>
                </c:pt>
                <c:pt idx="4">
                  <c:v>Software engineering</c:v>
                </c:pt>
                <c:pt idx="5">
                  <c:v>Required (additional) infrastructure</c:v>
                </c:pt>
                <c:pt idx="6">
                  <c:v>Miscellaneous</c:v>
                </c:pt>
              </c:strCache>
            </c:strRef>
          </c:cat>
          <c:val>
            <c:numRef>
              <c:f>'5-Assessment'!$T$10:$T$16</c:f>
              <c:numCache>
                <c:formatCode>0%</c:formatCode>
                <c:ptCount val="7"/>
                <c:pt idx="0">
                  <c:v>0.10760700051984058</c:v>
                </c:pt>
                <c:pt idx="1">
                  <c:v>0.64330272049904691</c:v>
                </c:pt>
                <c:pt idx="2">
                  <c:v>0</c:v>
                </c:pt>
                <c:pt idx="3">
                  <c:v>0</c:v>
                </c:pt>
                <c:pt idx="4">
                  <c:v>0</c:v>
                </c:pt>
                <c:pt idx="5">
                  <c:v>0</c:v>
                </c:pt>
                <c:pt idx="6">
                  <c:v>0.24909027898111247</c:v>
                </c:pt>
              </c:numCache>
            </c:numRef>
          </c:val>
          <c:extLst>
            <c:ext xmlns:c16="http://schemas.microsoft.com/office/drawing/2014/chart" uri="{C3380CC4-5D6E-409C-BE32-E72D297353CC}">
              <c16:uniqueId val="{00000000-499A-4368-BAAF-4EF8476402E3}"/>
            </c:ext>
          </c:extLst>
        </c:ser>
        <c:dLbls>
          <c:showLegendKey val="0"/>
          <c:showVal val="0"/>
          <c:showCatName val="0"/>
          <c:showSerName val="0"/>
          <c:showPercent val="0"/>
          <c:showBubbleSize val="0"/>
          <c:showLeaderLines val="1"/>
        </c:dLbls>
        <c:firstSliceAng val="0"/>
        <c:holeSize val="64"/>
      </c:doughnutChart>
      <c:spPr>
        <a:noFill/>
        <a:ln>
          <a:noFill/>
        </a:ln>
        <a:effectLst/>
      </c:spPr>
    </c:plotArea>
    <c:legend>
      <c:legendPos val="r"/>
      <c:layout>
        <c:manualLayout>
          <c:xMode val="edge"/>
          <c:yMode val="edge"/>
          <c:x val="0.68784662378576067"/>
          <c:y val="1.4905784091909726E-2"/>
          <c:w val="0.27064973459147368"/>
          <c:h val="0.9457791869916332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Operational/maintenance costs</a:t>
            </a:r>
          </a:p>
        </c:rich>
      </c:tx>
      <c:layout>
        <c:manualLayout>
          <c:xMode val="edge"/>
          <c:yMode val="edge"/>
          <c:x val="0.20444991728725972"/>
          <c:y val="6.4376695636179704E-2"/>
        </c:manualLayout>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doughnutChart>
        <c:varyColors val="1"/>
        <c:ser>
          <c:idx val="0"/>
          <c:order val="0"/>
          <c:tx>
            <c:strRef>
              <c:f>'5-Assessment'!$X$9</c:f>
              <c:strCache>
                <c:ptCount val="1"/>
                <c:pt idx="0">
                  <c:v>%</c:v>
                </c:pt>
              </c:strCache>
            </c:strRef>
          </c:tx>
          <c:dPt>
            <c:idx val="0"/>
            <c:bubble3D val="0"/>
            <c:spPr>
              <a:solidFill>
                <a:srgbClr val="EF5675"/>
              </a:solidFill>
              <a:ln w="19050">
                <a:solidFill>
                  <a:schemeClr val="lt1"/>
                </a:solidFill>
              </a:ln>
              <a:effectLst/>
            </c:spPr>
            <c:extLst>
              <c:ext xmlns:c16="http://schemas.microsoft.com/office/drawing/2014/chart" uri="{C3380CC4-5D6E-409C-BE32-E72D297353CC}">
                <c16:uniqueId val="{00000002-499A-4368-BAAF-4EF8476402E3}"/>
              </c:ext>
            </c:extLst>
          </c:dPt>
          <c:dPt>
            <c:idx val="1"/>
            <c:bubble3D val="0"/>
            <c:spPr>
              <a:solidFill>
                <a:srgbClr val="003F5C"/>
              </a:solidFill>
              <a:ln w="19050">
                <a:solidFill>
                  <a:schemeClr val="lt1"/>
                </a:solidFill>
              </a:ln>
              <a:effectLst/>
            </c:spPr>
            <c:extLst>
              <c:ext xmlns:c16="http://schemas.microsoft.com/office/drawing/2014/chart" uri="{C3380CC4-5D6E-409C-BE32-E72D297353CC}">
                <c16:uniqueId val="{00000003-499A-4368-BAAF-4EF8476402E3}"/>
              </c:ext>
            </c:extLst>
          </c:dPt>
          <c:dPt>
            <c:idx val="2"/>
            <c:bubble3D val="0"/>
            <c:spPr>
              <a:solidFill>
                <a:srgbClr val="BC5090"/>
              </a:solidFill>
              <a:ln w="19050">
                <a:solidFill>
                  <a:schemeClr val="lt1"/>
                </a:solidFill>
              </a:ln>
              <a:effectLst/>
            </c:spPr>
            <c:extLst>
              <c:ext xmlns:c16="http://schemas.microsoft.com/office/drawing/2014/chart" uri="{C3380CC4-5D6E-409C-BE32-E72D297353CC}">
                <c16:uniqueId val="{00000004-499A-4368-BAAF-4EF8476402E3}"/>
              </c:ext>
            </c:extLst>
          </c:dPt>
          <c:dPt>
            <c:idx val="3"/>
            <c:bubble3D val="0"/>
            <c:spPr>
              <a:solidFill>
                <a:srgbClr val="FF6361"/>
              </a:solidFill>
              <a:ln w="19050">
                <a:solidFill>
                  <a:schemeClr val="lt1"/>
                </a:solidFill>
              </a:ln>
              <a:effectLst/>
            </c:spPr>
            <c:extLst>
              <c:ext xmlns:c16="http://schemas.microsoft.com/office/drawing/2014/chart" uri="{C3380CC4-5D6E-409C-BE32-E72D297353CC}">
                <c16:uniqueId val="{00000005-499A-4368-BAAF-4EF8476402E3}"/>
              </c:ext>
            </c:extLst>
          </c:dPt>
          <c:dPt>
            <c:idx val="4"/>
            <c:bubble3D val="0"/>
            <c:spPr>
              <a:solidFill>
                <a:srgbClr val="FFA600"/>
              </a:solidFill>
              <a:ln w="19050">
                <a:solidFill>
                  <a:schemeClr val="lt1"/>
                </a:solidFill>
              </a:ln>
              <a:effectLst/>
            </c:spPr>
            <c:extLst>
              <c:ext xmlns:c16="http://schemas.microsoft.com/office/drawing/2014/chart" uri="{C3380CC4-5D6E-409C-BE32-E72D297353CC}">
                <c16:uniqueId val="{00000006-499A-4368-BAAF-4EF8476402E3}"/>
              </c:ext>
            </c:extLst>
          </c:dPt>
          <c:dPt>
            <c:idx val="5"/>
            <c:bubble3D val="0"/>
            <c:spPr>
              <a:solidFill>
                <a:srgbClr val="444E86"/>
              </a:solidFill>
              <a:ln w="19050">
                <a:solidFill>
                  <a:schemeClr val="lt1"/>
                </a:solidFill>
              </a:ln>
              <a:effectLst/>
            </c:spPr>
            <c:extLst>
              <c:ext xmlns:c16="http://schemas.microsoft.com/office/drawing/2014/chart" uri="{C3380CC4-5D6E-409C-BE32-E72D297353CC}">
                <c16:uniqueId val="{00000007-499A-4368-BAAF-4EF8476402E3}"/>
              </c:ext>
            </c:extLst>
          </c:dPt>
          <c:dPt>
            <c:idx val="6"/>
            <c:bubble3D val="0"/>
            <c:spPr>
              <a:solidFill>
                <a:srgbClr val="665191"/>
              </a:solidFill>
              <a:ln w="19050">
                <a:solidFill>
                  <a:schemeClr val="lt1"/>
                </a:solidFill>
              </a:ln>
              <a:effectLst/>
            </c:spPr>
            <c:extLst>
              <c:ext xmlns:c16="http://schemas.microsoft.com/office/drawing/2014/chart" uri="{C3380CC4-5D6E-409C-BE32-E72D297353CC}">
                <c16:uniqueId val="{00000008-499A-4368-BAAF-4EF8476402E3}"/>
              </c:ext>
            </c:extLst>
          </c:dPt>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j-lt"/>
                    <a:ea typeface="+mn-ea"/>
                    <a:cs typeface="Calibri Light" panose="020F0302020204030204" pitchFamily="34" charset="0"/>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'5-Assessment'!$V$10:$V$14</c:f>
              <c:strCache>
                <c:ptCount val="5"/>
                <c:pt idx="0">
                  <c:v>Model monitoring, maintenance and reporting</c:v>
                </c:pt>
                <c:pt idx="1">
                  <c:v>(Automated) retraining</c:v>
                </c:pt>
                <c:pt idx="2">
                  <c:v>Infrastructure management</c:v>
                </c:pt>
                <c:pt idx="3">
                  <c:v>Incremental cost increases for rollout/scaling across processes, etc.</c:v>
                </c:pt>
                <c:pt idx="4">
                  <c:v>Miscellaneous</c:v>
                </c:pt>
              </c:strCache>
            </c:strRef>
          </c:cat>
          <c:val>
            <c:numRef>
              <c:f>'5-Assessment'!$X$10:$X$14</c:f>
              <c:numCache>
                <c:formatCode>0%</c:formatCode>
                <c:ptCount val="5"/>
                <c:pt idx="0">
                  <c:v>0.83083709214850554</c:v>
                </c:pt>
                <c:pt idx="1">
                  <c:v>0</c:v>
                </c:pt>
                <c:pt idx="2">
                  <c:v>4.0534779344214969E-2</c:v>
                </c:pt>
                <c:pt idx="3">
                  <c:v>4.4556366561968139E-2</c:v>
                </c:pt>
                <c:pt idx="4">
                  <c:v>8.4071761945311338E-2</c:v>
                </c:pt>
              </c:numCache>
            </c:numRef>
          </c:val>
          <c:extLst>
            <c:ext xmlns:c16="http://schemas.microsoft.com/office/drawing/2014/chart" uri="{C3380CC4-5D6E-409C-BE32-E72D297353CC}">
              <c16:uniqueId val="{00000000-499A-4368-BAAF-4EF8476402E3}"/>
            </c:ext>
          </c:extLst>
        </c:ser>
        <c:dLbls>
          <c:showLegendKey val="0"/>
          <c:showVal val="0"/>
          <c:showCatName val="0"/>
          <c:showSerName val="0"/>
          <c:showPercent val="0"/>
          <c:showBubbleSize val="0"/>
          <c:showLeaderLines val="1"/>
        </c:dLbls>
        <c:firstSliceAng val="0"/>
        <c:holeSize val="64"/>
      </c:doughnutChart>
      <c:spPr>
        <a:noFill/>
        <a:ln>
          <a:noFill/>
        </a:ln>
        <a:effectLst/>
      </c:spPr>
    </c:plotArea>
    <c:legend>
      <c:legendPos val="r"/>
      <c:layout>
        <c:manualLayout>
          <c:xMode val="edge"/>
          <c:yMode val="edge"/>
          <c:x val="0.68784662378576067"/>
          <c:y val="2.4147988801649922E-2"/>
          <c:w val="0.27472922316146425"/>
          <c:h val="0.9204748310022843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B$15"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1.svg"/><Relationship Id="rId18" Type="http://schemas.openxmlformats.org/officeDocument/2006/relationships/image" Target="../media/image14.png"/><Relationship Id="rId3" Type="http://schemas.openxmlformats.org/officeDocument/2006/relationships/image" Target="../media/image3.png"/><Relationship Id="rId21" Type="http://schemas.openxmlformats.org/officeDocument/2006/relationships/image" Target="../media/image17.svg"/><Relationship Id="rId7" Type="http://schemas.openxmlformats.org/officeDocument/2006/relationships/hyperlink" Target="#'0-Home'!A1"/><Relationship Id="rId12" Type="http://schemas.openxmlformats.org/officeDocument/2006/relationships/image" Target="../media/image10.png"/><Relationship Id="rId17" Type="http://schemas.openxmlformats.org/officeDocument/2006/relationships/hyperlink" Target="#Links!A1"/><Relationship Id="rId2" Type="http://schemas.openxmlformats.org/officeDocument/2006/relationships/image" Target="../media/image2.svg"/><Relationship Id="rId16" Type="http://schemas.openxmlformats.org/officeDocument/2006/relationships/image" Target="../media/image13.svg"/><Relationship Id="rId20"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hyperlink" Target="#'1-Description'!A1"/><Relationship Id="rId5" Type="http://schemas.openxmlformats.org/officeDocument/2006/relationships/image" Target="../media/image5.png"/><Relationship Id="rId15" Type="http://schemas.openxmlformats.org/officeDocument/2006/relationships/image" Target="../media/image12.png"/><Relationship Id="rId10" Type="http://schemas.openxmlformats.org/officeDocument/2006/relationships/image" Target="../media/image9.png"/><Relationship Id="rId19" Type="http://schemas.openxmlformats.org/officeDocument/2006/relationships/image" Target="../media/image15.svg"/><Relationship Id="rId4" Type="http://schemas.openxmlformats.org/officeDocument/2006/relationships/image" Target="../media/image4.svg"/><Relationship Id="rId9" Type="http://schemas.openxmlformats.org/officeDocument/2006/relationships/image" Target="../media/image8.svg"/><Relationship Id="rId14" Type="http://schemas.openxmlformats.org/officeDocument/2006/relationships/hyperlink" Target="#'5-Assessment'!A1"/></Relationships>
</file>

<file path=xl/drawings/_rels/drawing2.xml.rels><?xml version="1.0" encoding="UTF-8" standalone="yes"?>
<Relationships xmlns="http://schemas.openxmlformats.org/package/2006/relationships"><Relationship Id="rId13" Type="http://schemas.openxmlformats.org/officeDocument/2006/relationships/image" Target="../media/image26.png"/><Relationship Id="rId18" Type="http://schemas.openxmlformats.org/officeDocument/2006/relationships/image" Target="../media/image2.svg"/><Relationship Id="rId26" Type="http://schemas.openxmlformats.org/officeDocument/2006/relationships/image" Target="../media/image32.png"/><Relationship Id="rId3" Type="http://schemas.openxmlformats.org/officeDocument/2006/relationships/image" Target="../media/image19.svg"/><Relationship Id="rId21" Type="http://schemas.openxmlformats.org/officeDocument/2006/relationships/image" Target="../media/image5.png"/><Relationship Id="rId34" Type="http://schemas.openxmlformats.org/officeDocument/2006/relationships/hyperlink" Target="#'5-Assessment'!A1"/><Relationship Id="rId7" Type="http://schemas.openxmlformats.org/officeDocument/2006/relationships/image" Target="../media/image22.png"/><Relationship Id="rId12" Type="http://schemas.openxmlformats.org/officeDocument/2006/relationships/hyperlink" Target="#'4-Contacts'!A1"/><Relationship Id="rId17" Type="http://schemas.openxmlformats.org/officeDocument/2006/relationships/image" Target="../media/image1.png"/><Relationship Id="rId25" Type="http://schemas.openxmlformats.org/officeDocument/2006/relationships/image" Target="../media/image31.svg"/><Relationship Id="rId33" Type="http://schemas.openxmlformats.org/officeDocument/2006/relationships/image" Target="../media/image15.svg"/><Relationship Id="rId2" Type="http://schemas.openxmlformats.org/officeDocument/2006/relationships/image" Target="../media/image18.png"/><Relationship Id="rId16" Type="http://schemas.openxmlformats.org/officeDocument/2006/relationships/image" Target="../media/image29.svg"/><Relationship Id="rId20" Type="http://schemas.openxmlformats.org/officeDocument/2006/relationships/image" Target="../media/image4.svg"/><Relationship Id="rId29" Type="http://schemas.openxmlformats.org/officeDocument/2006/relationships/image" Target="../media/image7.png"/><Relationship Id="rId1" Type="http://schemas.openxmlformats.org/officeDocument/2006/relationships/hyperlink" Target="#'1-Description'!A1"/><Relationship Id="rId6" Type="http://schemas.openxmlformats.org/officeDocument/2006/relationships/hyperlink" Target="#'3-Costs'!A1"/><Relationship Id="rId11" Type="http://schemas.openxmlformats.org/officeDocument/2006/relationships/image" Target="../media/image25.svg"/><Relationship Id="rId24" Type="http://schemas.openxmlformats.org/officeDocument/2006/relationships/image" Target="../media/image30.png"/><Relationship Id="rId32" Type="http://schemas.openxmlformats.org/officeDocument/2006/relationships/image" Target="../media/image14.png"/><Relationship Id="rId5" Type="http://schemas.openxmlformats.org/officeDocument/2006/relationships/image" Target="../media/image21.svg"/><Relationship Id="rId15" Type="http://schemas.openxmlformats.org/officeDocument/2006/relationships/image" Target="../media/image28.png"/><Relationship Id="rId23" Type="http://schemas.openxmlformats.org/officeDocument/2006/relationships/hyperlink" Target="https://www.ingenieur.de/karriere/gehalt/so-viel-verdienen-experten-fuer-kuenstliche-intelligenz/" TargetMode="External"/><Relationship Id="rId28" Type="http://schemas.openxmlformats.org/officeDocument/2006/relationships/hyperlink" Target="#'0-Home'!A1"/><Relationship Id="rId36" Type="http://schemas.openxmlformats.org/officeDocument/2006/relationships/image" Target="../media/image13.svg"/><Relationship Id="rId10" Type="http://schemas.openxmlformats.org/officeDocument/2006/relationships/image" Target="../media/image24.png"/><Relationship Id="rId19" Type="http://schemas.openxmlformats.org/officeDocument/2006/relationships/image" Target="../media/image3.png"/><Relationship Id="rId31" Type="http://schemas.openxmlformats.org/officeDocument/2006/relationships/hyperlink" Target="#Links!A1"/><Relationship Id="rId4" Type="http://schemas.openxmlformats.org/officeDocument/2006/relationships/image" Target="../media/image20.png"/><Relationship Id="rId9" Type="http://schemas.openxmlformats.org/officeDocument/2006/relationships/hyperlink" Target="#'2-Value'!A1"/><Relationship Id="rId14" Type="http://schemas.openxmlformats.org/officeDocument/2006/relationships/image" Target="../media/image27.svg"/><Relationship Id="rId22" Type="http://schemas.openxmlformats.org/officeDocument/2006/relationships/image" Target="../media/image6.svg"/><Relationship Id="rId27" Type="http://schemas.openxmlformats.org/officeDocument/2006/relationships/image" Target="../media/image33.svg"/><Relationship Id="rId30" Type="http://schemas.openxmlformats.org/officeDocument/2006/relationships/image" Target="../media/image8.svg"/><Relationship Id="rId35" Type="http://schemas.openxmlformats.org/officeDocument/2006/relationships/image" Target="../media/image12.png"/><Relationship Id="rId8" Type="http://schemas.openxmlformats.org/officeDocument/2006/relationships/image" Target="../media/image23.sv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3-Costs'!A1"/><Relationship Id="rId18" Type="http://schemas.openxmlformats.org/officeDocument/2006/relationships/image" Target="../media/image24.png"/><Relationship Id="rId26" Type="http://schemas.openxmlformats.org/officeDocument/2006/relationships/image" Target="../media/image14.png"/><Relationship Id="rId3" Type="http://schemas.openxmlformats.org/officeDocument/2006/relationships/image" Target="../media/image3.png"/><Relationship Id="rId21" Type="http://schemas.openxmlformats.org/officeDocument/2006/relationships/image" Target="../media/image26.png"/><Relationship Id="rId7" Type="http://schemas.openxmlformats.org/officeDocument/2006/relationships/image" Target="../media/image34.svg"/><Relationship Id="rId12" Type="http://schemas.openxmlformats.org/officeDocument/2006/relationships/image" Target="../media/image8.svg"/><Relationship Id="rId17" Type="http://schemas.openxmlformats.org/officeDocument/2006/relationships/image" Target="../media/image23.svg"/><Relationship Id="rId25" Type="http://schemas.openxmlformats.org/officeDocument/2006/relationships/hyperlink" Target="#Links!A1"/><Relationship Id="rId2" Type="http://schemas.openxmlformats.org/officeDocument/2006/relationships/image" Target="../media/image2.svg"/><Relationship Id="rId16" Type="http://schemas.openxmlformats.org/officeDocument/2006/relationships/image" Target="../media/image22.png"/><Relationship Id="rId20" Type="http://schemas.openxmlformats.org/officeDocument/2006/relationships/hyperlink" Target="#'4-Contacts'!A1"/><Relationship Id="rId29"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28.png"/><Relationship Id="rId11" Type="http://schemas.openxmlformats.org/officeDocument/2006/relationships/image" Target="../media/image7.png"/><Relationship Id="rId24" Type="http://schemas.openxmlformats.org/officeDocument/2006/relationships/image" Target="../media/image33.svg"/><Relationship Id="rId5" Type="http://schemas.openxmlformats.org/officeDocument/2006/relationships/hyperlink" Target="#'1-Description'!A1"/><Relationship Id="rId15" Type="http://schemas.openxmlformats.org/officeDocument/2006/relationships/image" Target="../media/image21.svg"/><Relationship Id="rId23" Type="http://schemas.openxmlformats.org/officeDocument/2006/relationships/image" Target="../media/image32.png"/><Relationship Id="rId28" Type="http://schemas.openxmlformats.org/officeDocument/2006/relationships/hyperlink" Target="#'5-Assessment'!A1"/><Relationship Id="rId10" Type="http://schemas.openxmlformats.org/officeDocument/2006/relationships/hyperlink" Target="#'0-Home'!A1"/><Relationship Id="rId19" Type="http://schemas.openxmlformats.org/officeDocument/2006/relationships/image" Target="../media/image25.svg"/><Relationship Id="rId4" Type="http://schemas.openxmlformats.org/officeDocument/2006/relationships/image" Target="../media/image4.svg"/><Relationship Id="rId9" Type="http://schemas.openxmlformats.org/officeDocument/2006/relationships/image" Target="../media/image6.svg"/><Relationship Id="rId14" Type="http://schemas.openxmlformats.org/officeDocument/2006/relationships/image" Target="../media/image20.png"/><Relationship Id="rId22" Type="http://schemas.openxmlformats.org/officeDocument/2006/relationships/image" Target="../media/image27.svg"/><Relationship Id="rId27" Type="http://schemas.openxmlformats.org/officeDocument/2006/relationships/image" Target="../media/image15.svg"/><Relationship Id="rId30" Type="http://schemas.openxmlformats.org/officeDocument/2006/relationships/image" Target="../media/image13.sv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hyperlink" Target="#'1-Description'!A1"/><Relationship Id="rId18" Type="http://schemas.openxmlformats.org/officeDocument/2006/relationships/image" Target="../media/image24.png"/><Relationship Id="rId26" Type="http://schemas.openxmlformats.org/officeDocument/2006/relationships/image" Target="../media/image14.png"/><Relationship Id="rId3" Type="http://schemas.openxmlformats.org/officeDocument/2006/relationships/image" Target="../media/image3.png"/><Relationship Id="rId21" Type="http://schemas.openxmlformats.org/officeDocument/2006/relationships/image" Target="../media/image26.png"/><Relationship Id="rId7" Type="http://schemas.openxmlformats.org/officeDocument/2006/relationships/hyperlink" Target="#'2-Value'!A1"/><Relationship Id="rId12" Type="http://schemas.openxmlformats.org/officeDocument/2006/relationships/image" Target="../media/image8.svg"/><Relationship Id="rId17" Type="http://schemas.openxmlformats.org/officeDocument/2006/relationships/image" Target="../media/image23.svg"/><Relationship Id="rId25" Type="http://schemas.openxmlformats.org/officeDocument/2006/relationships/hyperlink" Target="#Links!A1"/><Relationship Id="rId2" Type="http://schemas.openxmlformats.org/officeDocument/2006/relationships/image" Target="../media/image2.svg"/><Relationship Id="rId16" Type="http://schemas.openxmlformats.org/officeDocument/2006/relationships/image" Target="../media/image22.png"/><Relationship Id="rId20" Type="http://schemas.openxmlformats.org/officeDocument/2006/relationships/hyperlink" Target="#'4-Contacts'!A1"/><Relationship Id="rId29"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7.png"/><Relationship Id="rId24" Type="http://schemas.openxmlformats.org/officeDocument/2006/relationships/image" Target="../media/image33.svg"/><Relationship Id="rId32" Type="http://schemas.openxmlformats.org/officeDocument/2006/relationships/image" Target="../media/image36.svg"/><Relationship Id="rId5" Type="http://schemas.openxmlformats.org/officeDocument/2006/relationships/image" Target="../media/image5.png"/><Relationship Id="rId15" Type="http://schemas.openxmlformats.org/officeDocument/2006/relationships/image" Target="../media/image21.svg"/><Relationship Id="rId23" Type="http://schemas.openxmlformats.org/officeDocument/2006/relationships/image" Target="../media/image32.png"/><Relationship Id="rId28" Type="http://schemas.openxmlformats.org/officeDocument/2006/relationships/hyperlink" Target="#'5-Assessment'!A1"/><Relationship Id="rId10" Type="http://schemas.openxmlformats.org/officeDocument/2006/relationships/hyperlink" Target="#'0-Home'!A1"/><Relationship Id="rId19" Type="http://schemas.openxmlformats.org/officeDocument/2006/relationships/image" Target="../media/image25.svg"/><Relationship Id="rId31" Type="http://schemas.openxmlformats.org/officeDocument/2006/relationships/image" Target="../media/image35.png"/><Relationship Id="rId4" Type="http://schemas.openxmlformats.org/officeDocument/2006/relationships/image" Target="../media/image4.svg"/><Relationship Id="rId9" Type="http://schemas.openxmlformats.org/officeDocument/2006/relationships/image" Target="../media/image34.svg"/><Relationship Id="rId14" Type="http://schemas.openxmlformats.org/officeDocument/2006/relationships/image" Target="../media/image20.png"/><Relationship Id="rId22" Type="http://schemas.openxmlformats.org/officeDocument/2006/relationships/image" Target="../media/image27.svg"/><Relationship Id="rId27" Type="http://schemas.openxmlformats.org/officeDocument/2006/relationships/image" Target="../media/image15.svg"/><Relationship Id="rId30" Type="http://schemas.openxmlformats.org/officeDocument/2006/relationships/image" Target="../media/image13.svg"/></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hyperlink" Target="#'5-Assessment'!A1"/><Relationship Id="rId18" Type="http://schemas.openxmlformats.org/officeDocument/2006/relationships/image" Target="../media/image21.svg"/><Relationship Id="rId26" Type="http://schemas.openxmlformats.org/officeDocument/2006/relationships/image" Target="../media/image32.png"/><Relationship Id="rId3" Type="http://schemas.openxmlformats.org/officeDocument/2006/relationships/image" Target="../media/image3.png"/><Relationship Id="rId21" Type="http://schemas.openxmlformats.org/officeDocument/2006/relationships/hyperlink" Target="#'2-Value'!A1"/><Relationship Id="rId7" Type="http://schemas.openxmlformats.org/officeDocument/2006/relationships/hyperlink" Target="#'3-Costs'!A1"/><Relationship Id="rId12" Type="http://schemas.openxmlformats.org/officeDocument/2006/relationships/image" Target="../media/image8.svg"/><Relationship Id="rId17" Type="http://schemas.openxmlformats.org/officeDocument/2006/relationships/image" Target="../media/image20.png"/><Relationship Id="rId25" Type="http://schemas.openxmlformats.org/officeDocument/2006/relationships/image" Target="../media/image27.svg"/><Relationship Id="rId2" Type="http://schemas.openxmlformats.org/officeDocument/2006/relationships/image" Target="../media/image2.svg"/><Relationship Id="rId16" Type="http://schemas.openxmlformats.org/officeDocument/2006/relationships/hyperlink" Target="#'1-Description'!A1"/><Relationship Id="rId20" Type="http://schemas.openxmlformats.org/officeDocument/2006/relationships/image" Target="../media/image23.svg"/><Relationship Id="rId29"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7.png"/><Relationship Id="rId24" Type="http://schemas.openxmlformats.org/officeDocument/2006/relationships/image" Target="../media/image26.png"/><Relationship Id="rId5" Type="http://schemas.openxmlformats.org/officeDocument/2006/relationships/image" Target="../media/image5.png"/><Relationship Id="rId15" Type="http://schemas.openxmlformats.org/officeDocument/2006/relationships/image" Target="../media/image13.svg"/><Relationship Id="rId23" Type="http://schemas.openxmlformats.org/officeDocument/2006/relationships/image" Target="../media/image25.svg"/><Relationship Id="rId28" Type="http://schemas.openxmlformats.org/officeDocument/2006/relationships/hyperlink" Target="#Links!A1"/><Relationship Id="rId10" Type="http://schemas.openxmlformats.org/officeDocument/2006/relationships/hyperlink" Target="#'0-Home'!A1"/><Relationship Id="rId19" Type="http://schemas.openxmlformats.org/officeDocument/2006/relationships/image" Target="../media/image22.png"/><Relationship Id="rId4" Type="http://schemas.openxmlformats.org/officeDocument/2006/relationships/image" Target="../media/image4.svg"/><Relationship Id="rId9" Type="http://schemas.openxmlformats.org/officeDocument/2006/relationships/image" Target="../media/image34.svg"/><Relationship Id="rId14" Type="http://schemas.openxmlformats.org/officeDocument/2006/relationships/image" Target="../media/image12.png"/><Relationship Id="rId22" Type="http://schemas.openxmlformats.org/officeDocument/2006/relationships/image" Target="../media/image24.png"/><Relationship Id="rId27" Type="http://schemas.openxmlformats.org/officeDocument/2006/relationships/image" Target="../media/image33.svg"/><Relationship Id="rId30" Type="http://schemas.openxmlformats.org/officeDocument/2006/relationships/image" Target="../media/image15.sv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20.png"/><Relationship Id="rId18" Type="http://schemas.openxmlformats.org/officeDocument/2006/relationships/hyperlink" Target="#'2-Value'!A1"/><Relationship Id="rId26" Type="http://schemas.openxmlformats.org/officeDocument/2006/relationships/image" Target="../media/image15.svg"/><Relationship Id="rId3" Type="http://schemas.openxmlformats.org/officeDocument/2006/relationships/image" Target="../media/image3.png"/><Relationship Id="rId21" Type="http://schemas.openxmlformats.org/officeDocument/2006/relationships/hyperlink" Target="#'4-Contacts'!A1"/><Relationship Id="rId7" Type="http://schemas.openxmlformats.org/officeDocument/2006/relationships/hyperlink" Target="#'0-Home'!A1"/><Relationship Id="rId12" Type="http://schemas.openxmlformats.org/officeDocument/2006/relationships/hyperlink" Target="#'1-Description'!A1"/><Relationship Id="rId17" Type="http://schemas.openxmlformats.org/officeDocument/2006/relationships/image" Target="../media/image23.svg"/><Relationship Id="rId25" Type="http://schemas.openxmlformats.org/officeDocument/2006/relationships/image" Target="../media/image14.png"/><Relationship Id="rId2" Type="http://schemas.openxmlformats.org/officeDocument/2006/relationships/image" Target="../media/image2.svg"/><Relationship Id="rId16" Type="http://schemas.openxmlformats.org/officeDocument/2006/relationships/image" Target="../media/image22.png"/><Relationship Id="rId20" Type="http://schemas.openxmlformats.org/officeDocument/2006/relationships/image" Target="../media/image25.svg"/><Relationship Id="rId29" Type="http://schemas.openxmlformats.org/officeDocument/2006/relationships/chart" Target="../charts/chart5.xml"/><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chart" Target="../charts/chart2.xml"/><Relationship Id="rId24" Type="http://schemas.openxmlformats.org/officeDocument/2006/relationships/hyperlink" Target="#Links!A1"/><Relationship Id="rId5" Type="http://schemas.openxmlformats.org/officeDocument/2006/relationships/image" Target="../media/image5.png"/><Relationship Id="rId15" Type="http://schemas.openxmlformats.org/officeDocument/2006/relationships/hyperlink" Target="#'3-Costs'!A1"/><Relationship Id="rId23" Type="http://schemas.openxmlformats.org/officeDocument/2006/relationships/image" Target="../media/image27.svg"/><Relationship Id="rId28" Type="http://schemas.openxmlformats.org/officeDocument/2006/relationships/chart" Target="../charts/chart4.xml"/><Relationship Id="rId10" Type="http://schemas.openxmlformats.org/officeDocument/2006/relationships/chart" Target="../charts/chart1.xml"/><Relationship Id="rId19" Type="http://schemas.openxmlformats.org/officeDocument/2006/relationships/image" Target="../media/image24.png"/><Relationship Id="rId4" Type="http://schemas.openxmlformats.org/officeDocument/2006/relationships/image" Target="../media/image4.svg"/><Relationship Id="rId9" Type="http://schemas.openxmlformats.org/officeDocument/2006/relationships/image" Target="../media/image8.svg"/><Relationship Id="rId14" Type="http://schemas.openxmlformats.org/officeDocument/2006/relationships/image" Target="../media/image21.svg"/><Relationship Id="rId22" Type="http://schemas.openxmlformats.org/officeDocument/2006/relationships/image" Target="../media/image26.png"/><Relationship Id="rId27" Type="http://schemas.openxmlformats.org/officeDocument/2006/relationships/chart" Target="../charts/chart3.xml"/><Relationship Id="rId30"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5-Assessment'!A1"/><Relationship Id="rId3" Type="http://schemas.openxmlformats.org/officeDocument/2006/relationships/image" Target="../media/image3.png"/><Relationship Id="rId7" Type="http://schemas.openxmlformats.org/officeDocument/2006/relationships/hyperlink" Target="#'0-Home'!A1"/><Relationship Id="rId12" Type="http://schemas.openxmlformats.org/officeDocument/2006/relationships/image" Target="../media/image11.svg"/><Relationship Id="rId2" Type="http://schemas.openxmlformats.org/officeDocument/2006/relationships/image" Target="../media/image2.svg"/><Relationship Id="rId16" Type="http://schemas.openxmlformats.org/officeDocument/2006/relationships/image" Target="../media/image37.jpe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0.png"/><Relationship Id="rId5" Type="http://schemas.openxmlformats.org/officeDocument/2006/relationships/image" Target="../media/image5.png"/><Relationship Id="rId15" Type="http://schemas.openxmlformats.org/officeDocument/2006/relationships/image" Target="../media/image13.svg"/><Relationship Id="rId10" Type="http://schemas.openxmlformats.org/officeDocument/2006/relationships/hyperlink" Target="#'1-Description'!A1"/><Relationship Id="rId4" Type="http://schemas.openxmlformats.org/officeDocument/2006/relationships/image" Target="../media/image4.svg"/><Relationship Id="rId9" Type="http://schemas.openxmlformats.org/officeDocument/2006/relationships/image" Target="../media/image8.svg"/><Relationship Id="rId1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5-Assessment'!A1"/><Relationship Id="rId18" Type="http://schemas.openxmlformats.org/officeDocument/2006/relationships/image" Target="../media/image19.svg"/><Relationship Id="rId3" Type="http://schemas.openxmlformats.org/officeDocument/2006/relationships/image" Target="../media/image3.png"/><Relationship Id="rId21" Type="http://schemas.openxmlformats.org/officeDocument/2006/relationships/image" Target="../media/image15.svg"/><Relationship Id="rId7" Type="http://schemas.openxmlformats.org/officeDocument/2006/relationships/hyperlink" Target="#'0-Home'!A1"/><Relationship Id="rId12" Type="http://schemas.openxmlformats.org/officeDocument/2006/relationships/image" Target="../media/image11.svg"/><Relationship Id="rId17" Type="http://schemas.openxmlformats.org/officeDocument/2006/relationships/image" Target="../media/image18.png"/><Relationship Id="rId2" Type="http://schemas.openxmlformats.org/officeDocument/2006/relationships/image" Target="../media/image2.svg"/><Relationship Id="rId16" Type="http://schemas.openxmlformats.org/officeDocument/2006/relationships/hyperlink" Target="#'Burndown calculation'!A1"/><Relationship Id="rId20"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0.png"/><Relationship Id="rId5" Type="http://schemas.openxmlformats.org/officeDocument/2006/relationships/image" Target="../media/image5.png"/><Relationship Id="rId15" Type="http://schemas.openxmlformats.org/officeDocument/2006/relationships/image" Target="../media/image13.svg"/><Relationship Id="rId10" Type="http://schemas.openxmlformats.org/officeDocument/2006/relationships/hyperlink" Target="#'1-Description'!A1"/><Relationship Id="rId19" Type="http://schemas.openxmlformats.org/officeDocument/2006/relationships/hyperlink" Target="#Links!A1"/><Relationship Id="rId4" Type="http://schemas.openxmlformats.org/officeDocument/2006/relationships/image" Target="../media/image4.svg"/><Relationship Id="rId9" Type="http://schemas.openxmlformats.org/officeDocument/2006/relationships/image" Target="../media/image8.svg"/><Relationship Id="rId1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5-Assessment'!A1"/><Relationship Id="rId18" Type="http://schemas.openxmlformats.org/officeDocument/2006/relationships/image" Target="../media/image15.svg"/><Relationship Id="rId3" Type="http://schemas.openxmlformats.org/officeDocument/2006/relationships/image" Target="../media/image3.png"/><Relationship Id="rId7" Type="http://schemas.openxmlformats.org/officeDocument/2006/relationships/hyperlink" Target="#'0-Home'!A1"/><Relationship Id="rId12" Type="http://schemas.openxmlformats.org/officeDocument/2006/relationships/image" Target="../media/image11.svg"/><Relationship Id="rId17" Type="http://schemas.openxmlformats.org/officeDocument/2006/relationships/image" Target="../media/image14.png"/><Relationship Id="rId2" Type="http://schemas.openxmlformats.org/officeDocument/2006/relationships/image" Target="../media/image2.svg"/><Relationship Id="rId16" Type="http://schemas.openxmlformats.org/officeDocument/2006/relationships/hyperlink" Target="#Links!A1"/><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0.png"/><Relationship Id="rId5" Type="http://schemas.openxmlformats.org/officeDocument/2006/relationships/image" Target="../media/image5.png"/><Relationship Id="rId15" Type="http://schemas.openxmlformats.org/officeDocument/2006/relationships/image" Target="../media/image13.svg"/><Relationship Id="rId10" Type="http://schemas.openxmlformats.org/officeDocument/2006/relationships/hyperlink" Target="#'1-Description'!A1"/><Relationship Id="rId19" Type="http://schemas.openxmlformats.org/officeDocument/2006/relationships/image" Target="../media/image38.gif"/><Relationship Id="rId4" Type="http://schemas.openxmlformats.org/officeDocument/2006/relationships/image" Target="../media/image4.svg"/><Relationship Id="rId9" Type="http://schemas.openxmlformats.org/officeDocument/2006/relationships/image" Target="../media/image8.svg"/><Relationship Id="rId1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10</xdr:col>
      <xdr:colOff>606879</xdr:colOff>
      <xdr:row>6</xdr:row>
      <xdr:rowOff>195939</xdr:rowOff>
    </xdr:from>
    <xdr:to>
      <xdr:col>10</xdr:col>
      <xdr:colOff>606879</xdr:colOff>
      <xdr:row>33</xdr:row>
      <xdr:rowOff>0</xdr:rowOff>
    </xdr:to>
    <xdr:cxnSp macro="">
      <xdr:nvCxnSpPr>
        <xdr:cNvPr id="29" name="Straight Connector 28">
          <a:extLst>
            <a:ext uri="{FF2B5EF4-FFF2-40B4-BE49-F238E27FC236}">
              <a16:creationId xmlns:a16="http://schemas.microsoft.com/office/drawing/2014/main" id="{00000000-0008-0000-0000-00001D000000}"/>
            </a:ext>
          </a:extLst>
        </xdr:cNvPr>
        <xdr:cNvCxnSpPr/>
      </xdr:nvCxnSpPr>
      <xdr:spPr>
        <a:xfrm>
          <a:off x="13741854" y="1805664"/>
          <a:ext cx="0" cy="18682335"/>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606879</xdr:colOff>
      <xdr:row>1</xdr:row>
      <xdr:rowOff>8159</xdr:rowOff>
    </xdr:from>
    <xdr:to>
      <xdr:col>10</xdr:col>
      <xdr:colOff>606879</xdr:colOff>
      <xdr:row>6</xdr:row>
      <xdr:rowOff>189950</xdr:rowOff>
    </xdr:to>
    <xdr:cxnSp macro="">
      <xdr:nvCxnSpPr>
        <xdr:cNvPr id="30" name="Straight Connector 29">
          <a:extLst>
            <a:ext uri="{FF2B5EF4-FFF2-40B4-BE49-F238E27FC236}">
              <a16:creationId xmlns:a16="http://schemas.microsoft.com/office/drawing/2014/main" id="{00000000-0008-0000-0000-00001E000000}"/>
            </a:ext>
          </a:extLst>
        </xdr:cNvPr>
        <xdr:cNvCxnSpPr/>
      </xdr:nvCxnSpPr>
      <xdr:spPr>
        <a:xfrm>
          <a:off x="1374185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32</xdr:row>
      <xdr:rowOff>133350</xdr:rowOff>
    </xdr:from>
    <xdr:to>
      <xdr:col>11</xdr:col>
      <xdr:colOff>45983</xdr:colOff>
      <xdr:row>32</xdr:row>
      <xdr:rowOff>133350</xdr:rowOff>
    </xdr:to>
    <xdr:cxnSp macro="">
      <xdr:nvCxnSpPr>
        <xdr:cNvPr id="31" name="Straight Connector 30">
          <a:extLst>
            <a:ext uri="{FF2B5EF4-FFF2-40B4-BE49-F238E27FC236}">
              <a16:creationId xmlns:a16="http://schemas.microsoft.com/office/drawing/2014/main" id="{00000000-0008-0000-0000-00001F000000}"/>
            </a:ext>
          </a:extLst>
        </xdr:cNvPr>
        <xdr:cNvCxnSpPr/>
      </xdr:nvCxnSpPr>
      <xdr:spPr>
        <a:xfrm>
          <a:off x="390525" y="10029825"/>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2</xdr:col>
      <xdr:colOff>952500</xdr:colOff>
      <xdr:row>10</xdr:row>
      <xdr:rowOff>152400</xdr:rowOff>
    </xdr:to>
    <xdr:sp macro="" textlink="">
      <xdr:nvSpPr>
        <xdr:cNvPr id="32" name="Right Triangle 31">
          <a:extLst>
            <a:ext uri="{FF2B5EF4-FFF2-40B4-BE49-F238E27FC236}">
              <a16:creationId xmlns:a16="http://schemas.microsoft.com/office/drawing/2014/main" id="{00000000-0008-0000-0000-000020000000}"/>
            </a:ext>
          </a:extLst>
        </xdr:cNvPr>
        <xdr:cNvSpPr/>
      </xdr:nvSpPr>
      <xdr:spPr>
        <a:xfrm rot="5400000">
          <a:off x="-271462" y="271462"/>
          <a:ext cx="2743200" cy="2200275"/>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389281</xdr:colOff>
      <xdr:row>7</xdr:row>
      <xdr:rowOff>3312</xdr:rowOff>
    </xdr:from>
    <xdr:to>
      <xdr:col>2</xdr:col>
      <xdr:colOff>13250</xdr:colOff>
      <xdr:row>11</xdr:row>
      <xdr:rowOff>19878</xdr:rowOff>
    </xdr:to>
    <xdr:sp macro="" textlink="">
      <xdr:nvSpPr>
        <xdr:cNvPr id="33" name="Rectangle 32">
          <a:extLst>
            <a:ext uri="{FF2B5EF4-FFF2-40B4-BE49-F238E27FC236}">
              <a16:creationId xmlns:a16="http://schemas.microsoft.com/office/drawing/2014/main" id="{00000000-0008-0000-0000-000021000000}"/>
            </a:ext>
          </a:extLst>
        </xdr:cNvPr>
        <xdr:cNvSpPr/>
      </xdr:nvSpPr>
      <xdr:spPr>
        <a:xfrm>
          <a:off x="389281" y="1813062"/>
          <a:ext cx="871744" cy="11786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34" name="Right Triangle 33">
          <a:extLst>
            <a:ext uri="{FF2B5EF4-FFF2-40B4-BE49-F238E27FC236}">
              <a16:creationId xmlns:a16="http://schemas.microsoft.com/office/drawing/2014/main" id="{00000000-0008-0000-0000-000022000000}"/>
            </a:ext>
          </a:extLst>
        </xdr:cNvPr>
        <xdr:cNvSpPr/>
      </xdr:nvSpPr>
      <xdr:spPr>
        <a:xfrm rot="5400000">
          <a:off x="-186266" y="186266"/>
          <a:ext cx="1866900" cy="1494367"/>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17806</xdr:colOff>
      <xdr:row>0</xdr:row>
      <xdr:rowOff>598831</xdr:rowOff>
    </xdr:from>
    <xdr:to>
      <xdr:col>4</xdr:col>
      <xdr:colOff>134392</xdr:colOff>
      <xdr:row>6</xdr:row>
      <xdr:rowOff>179732</xdr:rowOff>
    </xdr:to>
    <xdr:sp macro="" textlink="">
      <xdr:nvSpPr>
        <xdr:cNvPr id="35" name="Rectangle 34">
          <a:extLst>
            <a:ext uri="{FF2B5EF4-FFF2-40B4-BE49-F238E27FC236}">
              <a16:creationId xmlns:a16="http://schemas.microsoft.com/office/drawing/2014/main" id="{00000000-0008-0000-0000-000023000000}"/>
            </a:ext>
          </a:extLst>
        </xdr:cNvPr>
        <xdr:cNvSpPr/>
      </xdr:nvSpPr>
      <xdr:spPr>
        <a:xfrm>
          <a:off x="408331" y="598831"/>
          <a:ext cx="2459736" cy="1190626"/>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47626</xdr:rowOff>
    </xdr:from>
    <xdr:to>
      <xdr:col>3</xdr:col>
      <xdr:colOff>161926</xdr:colOff>
      <xdr:row>5</xdr:row>
      <xdr:rowOff>39518</xdr:rowOff>
    </xdr:to>
    <xdr:pic>
      <xdr:nvPicPr>
        <xdr:cNvPr id="36" name="Graphic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38101</xdr:rowOff>
    </xdr:from>
    <xdr:to>
      <xdr:col>1</xdr:col>
      <xdr:colOff>772553</xdr:colOff>
      <xdr:row>5</xdr:row>
      <xdr:rowOff>66675</xdr:rowOff>
    </xdr:to>
    <xdr:pic>
      <xdr:nvPicPr>
        <xdr:cNvPr id="37" name="Graphic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26</xdr:row>
      <xdr:rowOff>0</xdr:rowOff>
    </xdr:from>
    <xdr:to>
      <xdr:col>5</xdr:col>
      <xdr:colOff>306705</xdr:colOff>
      <xdr:row>26</xdr:row>
      <xdr:rowOff>0</xdr:rowOff>
    </xdr:to>
    <xdr:grpSp>
      <xdr:nvGrpSpPr>
        <xdr:cNvPr id="54" name="Group 53">
          <a:extLst>
            <a:ext uri="{FF2B5EF4-FFF2-40B4-BE49-F238E27FC236}">
              <a16:creationId xmlns:a16="http://schemas.microsoft.com/office/drawing/2014/main" id="{00000000-0008-0000-0000-000036000000}"/>
            </a:ext>
          </a:extLst>
        </xdr:cNvPr>
        <xdr:cNvGrpSpPr/>
      </xdr:nvGrpSpPr>
      <xdr:grpSpPr>
        <a:xfrm>
          <a:off x="7169150" y="7250906"/>
          <a:ext cx="186055" cy="0"/>
          <a:chOff x="7772400" y="13287375"/>
          <a:chExt cx="304800" cy="304800"/>
        </a:xfrm>
      </xdr:grpSpPr>
      <xdr:sp macro="" textlink="">
        <xdr:nvSpPr>
          <xdr:cNvPr id="55" name="Oval 54">
            <a:extLst>
              <a:ext uri="{FF2B5EF4-FFF2-40B4-BE49-F238E27FC236}">
                <a16:creationId xmlns:a16="http://schemas.microsoft.com/office/drawing/2014/main" id="{00000000-0008-0000-0000-000037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6" name="Graphic 55" descr="Information">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editAs="absolute">
    <xdr:from>
      <xdr:col>1</xdr:col>
      <xdr:colOff>28575</xdr:colOff>
      <xdr:row>0</xdr:row>
      <xdr:rowOff>123825</xdr:rowOff>
    </xdr:from>
    <xdr:to>
      <xdr:col>1</xdr:col>
      <xdr:colOff>552450</xdr:colOff>
      <xdr:row>1</xdr:row>
      <xdr:rowOff>38100</xdr:rowOff>
    </xdr:to>
    <xdr:pic>
      <xdr:nvPicPr>
        <xdr:cNvPr id="81" name="Graphic 80" descr="Home">
          <a:hlinkClick xmlns:r="http://schemas.openxmlformats.org/officeDocument/2006/relationships" r:id="rId7"/>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19100" y="123825"/>
          <a:ext cx="523875" cy="523875"/>
        </a:xfrm>
        <a:prstGeom prst="rect">
          <a:avLst/>
        </a:prstGeom>
      </xdr:spPr>
    </xdr:pic>
    <xdr:clientData/>
  </xdr:twoCellAnchor>
  <xdr:twoCellAnchor editAs="oneCell">
    <xdr:from>
      <xdr:col>1</xdr:col>
      <xdr:colOff>19050</xdr:colOff>
      <xdr:row>8</xdr:row>
      <xdr:rowOff>180350</xdr:rowOff>
    </xdr:from>
    <xdr:to>
      <xdr:col>11</xdr:col>
      <xdr:colOff>38100</xdr:colOff>
      <xdr:row>30</xdr:row>
      <xdr:rowOff>738893</xdr:rowOff>
    </xdr:to>
    <xdr:pic>
      <xdr:nvPicPr>
        <xdr:cNvPr id="86" name="Grafik 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411956" y="2204413"/>
          <a:ext cx="13365957" cy="7511793"/>
        </a:xfrm>
        <a:prstGeom prst="rect">
          <a:avLst/>
        </a:prstGeom>
      </xdr:spPr>
    </xdr:pic>
    <xdr:clientData/>
  </xdr:twoCellAnchor>
  <xdr:twoCellAnchor editAs="absolute">
    <xdr:from>
      <xdr:col>9</xdr:col>
      <xdr:colOff>2762250</xdr:colOff>
      <xdr:row>1</xdr:row>
      <xdr:rowOff>171450</xdr:rowOff>
    </xdr:from>
    <xdr:to>
      <xdr:col>9</xdr:col>
      <xdr:colOff>3400425</xdr:colOff>
      <xdr:row>6</xdr:row>
      <xdr:rowOff>97920</xdr:rowOff>
    </xdr:to>
    <xdr:grpSp>
      <xdr:nvGrpSpPr>
        <xdr:cNvPr id="99" name="Group 98">
          <a:hlinkClick xmlns:r="http://schemas.openxmlformats.org/officeDocument/2006/relationships" r:id="rId11"/>
          <a:extLst>
            <a:ext uri="{FF2B5EF4-FFF2-40B4-BE49-F238E27FC236}">
              <a16:creationId xmlns:a16="http://schemas.microsoft.com/office/drawing/2014/main" id="{00000000-0008-0000-0000-000063000000}"/>
            </a:ext>
          </a:extLst>
        </xdr:cNvPr>
        <xdr:cNvGrpSpPr/>
      </xdr:nvGrpSpPr>
      <xdr:grpSpPr>
        <a:xfrm>
          <a:off x="12334875" y="778669"/>
          <a:ext cx="635000" cy="938501"/>
          <a:chOff x="5791200" y="790575"/>
          <a:chExt cx="638175" cy="926595"/>
        </a:xfrm>
      </xdr:grpSpPr>
      <xdr:grpSp>
        <xdr:nvGrpSpPr>
          <xdr:cNvPr id="87" name="Group 86">
            <a:extLst>
              <a:ext uri="{FF2B5EF4-FFF2-40B4-BE49-F238E27FC236}">
                <a16:creationId xmlns:a16="http://schemas.microsoft.com/office/drawing/2014/main" id="{00000000-0008-0000-0000-000057000000}"/>
              </a:ext>
            </a:extLst>
          </xdr:cNvPr>
          <xdr:cNvGrpSpPr/>
        </xdr:nvGrpSpPr>
        <xdr:grpSpPr>
          <a:xfrm>
            <a:off x="5791200" y="790575"/>
            <a:ext cx="638175" cy="926595"/>
            <a:chOff x="3409950" y="857249"/>
            <a:chExt cx="638175" cy="926595"/>
          </a:xfrm>
        </xdr:grpSpPr>
        <xdr:sp macro="" textlink="">
          <xdr:nvSpPr>
            <xdr:cNvPr id="88" name="Oval 87">
              <a:extLst>
                <a:ext uri="{FF2B5EF4-FFF2-40B4-BE49-F238E27FC236}">
                  <a16:creationId xmlns:a16="http://schemas.microsoft.com/office/drawing/2014/main" id="{00000000-0008-0000-0000-000058000000}"/>
                </a:ext>
              </a:extLst>
            </xdr:cNvPr>
            <xdr:cNvSpPr/>
          </xdr:nvSpPr>
          <xdr:spPr>
            <a:xfrm>
              <a:off x="3409950"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89" name="TextBox 88">
              <a:extLst>
                <a:ext uri="{FF2B5EF4-FFF2-40B4-BE49-F238E27FC236}">
                  <a16:creationId xmlns:a16="http://schemas.microsoft.com/office/drawing/2014/main" id="{00000000-0008-0000-0000-000059000000}"/>
                </a:ext>
              </a:extLst>
            </xdr:cNvPr>
            <xdr:cNvSpPr txBox="1"/>
          </xdr:nvSpPr>
          <xdr:spPr>
            <a:xfrm>
              <a:off x="3463160" y="1514475"/>
              <a:ext cx="52700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Input</a:t>
              </a:r>
            </a:p>
          </xdr:txBody>
        </xdr:sp>
      </xdr:grpSp>
      <xdr:pic>
        <xdr:nvPicPr>
          <xdr:cNvPr id="96" name="Graphic 95" descr="Pencil">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5943600" y="933450"/>
            <a:ext cx="365760" cy="365760"/>
          </a:xfrm>
          <a:prstGeom prst="rect">
            <a:avLst/>
          </a:prstGeom>
        </xdr:spPr>
      </xdr:pic>
    </xdr:grpSp>
    <xdr:clientData/>
  </xdr:twoCellAnchor>
  <xdr:twoCellAnchor editAs="absolute">
    <xdr:from>
      <xdr:col>9</xdr:col>
      <xdr:colOff>3724602</xdr:colOff>
      <xdr:row>1</xdr:row>
      <xdr:rowOff>180975</xdr:rowOff>
    </xdr:from>
    <xdr:to>
      <xdr:col>11</xdr:col>
      <xdr:colOff>139283</xdr:colOff>
      <xdr:row>6</xdr:row>
      <xdr:rowOff>107445</xdr:rowOff>
    </xdr:to>
    <xdr:grpSp>
      <xdr:nvGrpSpPr>
        <xdr:cNvPr id="100" name="Group 99">
          <a:hlinkClick xmlns:r="http://schemas.openxmlformats.org/officeDocument/2006/relationships" r:id="rId14"/>
          <a:extLst>
            <a:ext uri="{FF2B5EF4-FFF2-40B4-BE49-F238E27FC236}">
              <a16:creationId xmlns:a16="http://schemas.microsoft.com/office/drawing/2014/main" id="{00000000-0008-0000-0000-000064000000}"/>
            </a:ext>
          </a:extLst>
        </xdr:cNvPr>
        <xdr:cNvGrpSpPr/>
      </xdr:nvGrpSpPr>
      <xdr:grpSpPr>
        <a:xfrm>
          <a:off x="13294052" y="785019"/>
          <a:ext cx="1254969" cy="938501"/>
          <a:chOff x="7772599" y="790575"/>
          <a:chExt cx="1022844" cy="926595"/>
        </a:xfrm>
      </xdr:grpSpPr>
      <xdr:grpSp>
        <xdr:nvGrpSpPr>
          <xdr:cNvPr id="91" name="Group 90">
            <a:extLst>
              <a:ext uri="{FF2B5EF4-FFF2-40B4-BE49-F238E27FC236}">
                <a16:creationId xmlns:a16="http://schemas.microsoft.com/office/drawing/2014/main" id="{00000000-0008-0000-0000-00005B000000}"/>
              </a:ext>
            </a:extLst>
          </xdr:cNvPr>
          <xdr:cNvGrpSpPr/>
        </xdr:nvGrpSpPr>
        <xdr:grpSpPr>
          <a:xfrm>
            <a:off x="7772599" y="790575"/>
            <a:ext cx="1022844" cy="926595"/>
            <a:chOff x="5019675" y="857249"/>
            <a:chExt cx="1022844" cy="926595"/>
          </a:xfrm>
        </xdr:grpSpPr>
        <xdr:sp macro="" textlink="">
          <xdr:nvSpPr>
            <xdr:cNvPr id="92" name="Oval 91">
              <a:extLst>
                <a:ext uri="{FF2B5EF4-FFF2-40B4-BE49-F238E27FC236}">
                  <a16:creationId xmlns:a16="http://schemas.microsoft.com/office/drawing/2014/main" id="{00000000-0008-0000-0000-00005C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93" name="TextBox 92">
              <a:extLst>
                <a:ext uri="{FF2B5EF4-FFF2-40B4-BE49-F238E27FC236}">
                  <a16:creationId xmlns:a16="http://schemas.microsoft.com/office/drawing/2014/main" id="{00000000-0008-0000-0000-00005D000000}"/>
                </a:ext>
              </a:extLst>
            </xdr:cNvPr>
            <xdr:cNvSpPr txBox="1"/>
          </xdr:nvSpPr>
          <xdr:spPr>
            <a:xfrm>
              <a:off x="5019675"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98" name="Graphic 97" descr="Bar chart">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8055750" y="912000"/>
            <a:ext cx="411480" cy="411480"/>
          </a:xfrm>
          <a:prstGeom prst="rect">
            <a:avLst/>
          </a:prstGeom>
        </xdr:spPr>
      </xdr:pic>
    </xdr:grpSp>
    <xdr:clientData/>
  </xdr:twoCellAnchor>
  <xdr:twoCellAnchor>
    <xdr:from>
      <xdr:col>4</xdr:col>
      <xdr:colOff>3162300</xdr:colOff>
      <xdr:row>9</xdr:row>
      <xdr:rowOff>85726</xdr:rowOff>
    </xdr:from>
    <xdr:to>
      <xdr:col>10</xdr:col>
      <xdr:colOff>247650</xdr:colOff>
      <xdr:row>18</xdr:row>
      <xdr:rowOff>200025</xdr:rowOff>
    </xdr:to>
    <xdr:sp macro="" textlink="">
      <xdr:nvSpPr>
        <xdr:cNvPr id="102" name="TextBox 101">
          <a:extLst>
            <a:ext uri="{FF2B5EF4-FFF2-40B4-BE49-F238E27FC236}">
              <a16:creationId xmlns:a16="http://schemas.microsoft.com/office/drawing/2014/main" id="{00000000-0008-0000-0000-000066000000}"/>
            </a:ext>
          </a:extLst>
        </xdr:cNvPr>
        <xdr:cNvSpPr txBox="1"/>
      </xdr:nvSpPr>
      <xdr:spPr>
        <a:xfrm>
          <a:off x="5895975" y="2476501"/>
          <a:ext cx="7486650" cy="2638424"/>
        </a:xfrm>
        <a:prstGeom prst="rect">
          <a:avLst/>
        </a:prstGeom>
        <a:solidFill>
          <a:schemeClr val="tx1">
            <a:alpha val="39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latin typeface="+mj-lt"/>
              <a:cs typeface="Calibri Light" panose="020F0302020204030204" pitchFamily="34" charset="0"/>
            </a:rPr>
            <a:t>Welcome to the appliedAI Value Assessment Tool</a:t>
          </a:r>
        </a:p>
        <a:p>
          <a:endParaRPr lang="en-US" sz="1200">
            <a:solidFill>
              <a:schemeClr val="bg1"/>
            </a:solidFill>
            <a:latin typeface="+mj-lt"/>
            <a:cs typeface="Calibri Light" panose="020F0302020204030204" pitchFamily="34" charset="0"/>
          </a:endParaRPr>
        </a:p>
        <a:p>
          <a:r>
            <a:rPr lang="en-US" sz="1200">
              <a:solidFill>
                <a:schemeClr val="bg1"/>
              </a:solidFill>
              <a:latin typeface="+mj-lt"/>
              <a:cs typeface="Calibri Light" panose="020F0302020204030204" pitchFamily="34" charset="0"/>
            </a:rPr>
            <a:t>This tool is designed for making a rough financial evaluation of potential data-based use cases so as to facilitate an understanding of the financial benefits of these use cases. Based on the inputs, different potential use cases can be compared in terms of their profitability and investment costs. This tool is designed to help you structure your thoughts and make underlying assumptions for data-based use cases. Towards the end of the tool, we present a range of financial indicators that might be achievable with the respective use cases. Please remember that the underlying assumptions made will often be rough estimates and that the resulting numbers reflect</a:t>
          </a:r>
          <a:r>
            <a:rPr lang="en-US" sz="1200" baseline="0">
              <a:solidFill>
                <a:schemeClr val="bg1"/>
              </a:solidFill>
              <a:latin typeface="+mj-lt"/>
              <a:cs typeface="Calibri Light" panose="020F0302020204030204" pitchFamily="34" charset="0"/>
            </a:rPr>
            <a:t> </a:t>
          </a:r>
          <a:r>
            <a:rPr lang="en-US" sz="1200">
              <a:solidFill>
                <a:schemeClr val="bg1"/>
              </a:solidFill>
              <a:latin typeface="+mj-lt"/>
              <a:cs typeface="Calibri Light" panose="020F0302020204030204" pitchFamily="34" charset="0"/>
            </a:rPr>
            <a:t>only possible, not certain, future financial returns. </a:t>
          </a:r>
        </a:p>
        <a:p>
          <a:endParaRPr lang="en-US" sz="1200">
            <a:solidFill>
              <a:schemeClr val="bg1"/>
            </a:solidFill>
            <a:latin typeface="+mj-lt"/>
            <a:cs typeface="Calibri Light" panose="020F0302020204030204" pitchFamily="34" charset="0"/>
          </a:endParaRPr>
        </a:p>
        <a:p>
          <a:r>
            <a:rPr lang="en-US" sz="1200">
              <a:solidFill>
                <a:schemeClr val="bg1"/>
              </a:solidFill>
              <a:latin typeface="+mj-lt"/>
              <a:cs typeface="Calibri Light" panose="020F0302020204030204" pitchFamily="34" charset="0"/>
            </a:rPr>
            <a:t>If possible, fill out the tool with a Machine Learning engineer who is familiar with the specific nature of data-driven projects. Give</a:t>
          </a:r>
          <a:r>
            <a:rPr lang="en-US" sz="1200" baseline="0">
              <a:solidFill>
                <a:schemeClr val="bg1"/>
              </a:solidFill>
              <a:latin typeface="+mj-lt"/>
              <a:cs typeface="Calibri Light" panose="020F0302020204030204" pitchFamily="34" charset="0"/>
            </a:rPr>
            <a:t>n that e</a:t>
          </a:r>
          <a:r>
            <a:rPr lang="en-US" sz="1200">
              <a:solidFill>
                <a:schemeClr val="bg1"/>
              </a:solidFill>
              <a:latin typeface="+mj-lt"/>
              <a:cs typeface="Calibri Light" panose="020F0302020204030204" pitchFamily="34" charset="0"/>
            </a:rPr>
            <a:t>specially the cost tabs are difficult to examine, such an engineer may be able to more accurately assess these dimensions based on previous experiences. Click the</a:t>
          </a:r>
          <a:r>
            <a:rPr lang="en-US" sz="1200" baseline="0">
              <a:solidFill>
                <a:schemeClr val="bg1"/>
              </a:solidFill>
              <a:latin typeface="+mj-lt"/>
              <a:cs typeface="Calibri Light" panose="020F0302020204030204" pitchFamily="34" charset="0"/>
            </a:rPr>
            <a:t> Input icon above to begin filling out the tool.</a:t>
          </a:r>
          <a:r>
            <a:rPr lang="en-US" sz="1200">
              <a:solidFill>
                <a:schemeClr val="bg1"/>
              </a:solidFill>
              <a:latin typeface="+mj-lt"/>
              <a:cs typeface="Calibri Light" panose="020F0302020204030204" pitchFamily="34" charset="0"/>
            </a:rPr>
            <a:t> </a:t>
          </a:r>
        </a:p>
        <a:p>
          <a:endParaRPr lang="en-US" sz="1200">
            <a:solidFill>
              <a:schemeClr val="bg1"/>
            </a:solidFill>
            <a:latin typeface="+mj-lt"/>
            <a:cs typeface="Calibri Light" panose="020F0302020204030204" pitchFamily="34" charset="0"/>
          </a:endParaRPr>
        </a:p>
      </xdr:txBody>
    </xdr:sp>
    <xdr:clientData/>
  </xdr:twoCellAnchor>
  <xdr:twoCellAnchor editAs="absolute">
    <xdr:from>
      <xdr:col>9</xdr:col>
      <xdr:colOff>3657600</xdr:colOff>
      <xdr:row>0</xdr:row>
      <xdr:rowOff>371475</xdr:rowOff>
    </xdr:from>
    <xdr:to>
      <xdr:col>11</xdr:col>
      <xdr:colOff>66676</xdr:colOff>
      <xdr:row>1</xdr:row>
      <xdr:rowOff>49465</xdr:rowOff>
    </xdr:to>
    <xdr:grpSp>
      <xdr:nvGrpSpPr>
        <xdr:cNvPr id="27" name="Group 26">
          <a:hlinkClick xmlns:r="http://schemas.openxmlformats.org/officeDocument/2006/relationships" r:id="rId17"/>
          <a:extLst>
            <a:ext uri="{FF2B5EF4-FFF2-40B4-BE49-F238E27FC236}">
              <a16:creationId xmlns:a16="http://schemas.microsoft.com/office/drawing/2014/main" id="{00000000-0008-0000-0000-00001B000000}"/>
            </a:ext>
          </a:extLst>
        </xdr:cNvPr>
        <xdr:cNvGrpSpPr/>
      </xdr:nvGrpSpPr>
      <xdr:grpSpPr>
        <a:xfrm>
          <a:off x="13230225" y="368300"/>
          <a:ext cx="1239839" cy="285209"/>
          <a:chOff x="12792075" y="371475"/>
          <a:chExt cx="1019176" cy="281240"/>
        </a:xfrm>
      </xdr:grpSpPr>
      <xdr:pic>
        <xdr:nvPicPr>
          <xdr:cNvPr id="28" name="Graphic 27" descr="Link">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2792075" y="419100"/>
            <a:ext cx="182880" cy="182880"/>
          </a:xfrm>
          <a:prstGeom prst="rect">
            <a:avLst/>
          </a:prstGeom>
        </xdr:spPr>
      </xdr:pic>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oneCell">
    <xdr:from>
      <xdr:col>11</xdr:col>
      <xdr:colOff>590550</xdr:colOff>
      <xdr:row>0</xdr:row>
      <xdr:rowOff>152400</xdr:rowOff>
    </xdr:from>
    <xdr:to>
      <xdr:col>12</xdr:col>
      <xdr:colOff>295275</xdr:colOff>
      <xdr:row>0</xdr:row>
      <xdr:rowOff>447675</xdr:rowOff>
    </xdr:to>
    <xdr:pic>
      <xdr:nvPicPr>
        <xdr:cNvPr id="3" name="Graphic 2" descr="Money">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4335125" y="152400"/>
          <a:ext cx="295275"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219172</xdr:colOff>
      <xdr:row>3</xdr:row>
      <xdr:rowOff>122237</xdr:rowOff>
    </xdr:from>
    <xdr:to>
      <xdr:col>13</xdr:col>
      <xdr:colOff>1703518</xdr:colOff>
      <xdr:row>3</xdr:row>
      <xdr:rowOff>122237</xdr:rowOff>
    </xdr:to>
    <xdr:cxnSp macro="">
      <xdr:nvCxnSpPr>
        <xdr:cNvPr id="12" name="Straight Connector 11">
          <a:extLst>
            <a:ext uri="{FF2B5EF4-FFF2-40B4-BE49-F238E27FC236}">
              <a16:creationId xmlns:a16="http://schemas.microsoft.com/office/drawing/2014/main" id="{00000000-0008-0000-0100-00000C000000}"/>
            </a:ext>
          </a:extLst>
        </xdr:cNvPr>
        <xdr:cNvCxnSpPr>
          <a:cxnSpLocks/>
          <a:stCxn id="5" idx="2"/>
          <a:endCxn id="17" idx="6"/>
        </xdr:cNvCxnSpPr>
      </xdr:nvCxnSpPr>
      <xdr:spPr>
        <a:xfrm>
          <a:off x="4576860" y="1116806"/>
          <a:ext cx="6586571" cy="0"/>
        </a:xfrm>
        <a:prstGeom prst="line">
          <a:avLst/>
        </a:prstGeom>
        <a:ln w="28575">
          <a:solidFill>
            <a:schemeClr val="bg1">
              <a:lumMod val="65000"/>
            </a:schemeClr>
          </a:solidFill>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9</xdr:col>
      <xdr:colOff>47625</xdr:colOff>
      <xdr:row>16</xdr:row>
      <xdr:rowOff>57150</xdr:rowOff>
    </xdr:from>
    <xdr:to>
      <xdr:col>9</xdr:col>
      <xdr:colOff>230505</xdr:colOff>
      <xdr:row>16</xdr:row>
      <xdr:rowOff>240030</xdr:rowOff>
    </xdr:to>
    <xdr:pic>
      <xdr:nvPicPr>
        <xdr:cNvPr id="10" name="Graphic 9" descr="Help">
          <a:hlinkClick xmlns:r="http://schemas.openxmlformats.org/officeDocument/2006/relationships" r:id="rId1" tooltip="Please state which data is needed for the application. Is the data available already?"/>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1800" y="4391025"/>
          <a:ext cx="182880" cy="182880"/>
        </a:xfrm>
        <a:prstGeom prst="rect">
          <a:avLst/>
        </a:prstGeom>
      </xdr:spPr>
    </xdr:pic>
    <xdr:clientData/>
  </xdr:twoCellAnchor>
  <xdr:twoCellAnchor editAs="absolute">
    <xdr:from>
      <xdr:col>6</xdr:col>
      <xdr:colOff>38100</xdr:colOff>
      <xdr:row>1</xdr:row>
      <xdr:rowOff>190499</xdr:rowOff>
    </xdr:from>
    <xdr:to>
      <xdr:col>6</xdr:col>
      <xdr:colOff>1046100</xdr:colOff>
      <xdr:row>6</xdr:row>
      <xdr:rowOff>164594</xdr:rowOff>
    </xdr:to>
    <xdr:grpSp>
      <xdr:nvGrpSpPr>
        <xdr:cNvPr id="30" name="Group 29">
          <a:extLst>
            <a:ext uri="{FF2B5EF4-FFF2-40B4-BE49-F238E27FC236}">
              <a16:creationId xmlns:a16="http://schemas.microsoft.com/office/drawing/2014/main" id="{00000000-0008-0000-0100-00001E000000}"/>
            </a:ext>
          </a:extLst>
        </xdr:cNvPr>
        <xdr:cNvGrpSpPr/>
      </xdr:nvGrpSpPr>
      <xdr:grpSpPr>
        <a:xfrm>
          <a:off x="4586288" y="797718"/>
          <a:ext cx="1008000" cy="982951"/>
          <a:chOff x="3305175" y="857249"/>
          <a:chExt cx="954428" cy="926595"/>
        </a:xfrm>
      </xdr:grpSpPr>
      <xdr:sp macro="" textlink="">
        <xdr:nvSpPr>
          <xdr:cNvPr id="5" name="Oval 4">
            <a:extLst>
              <a:ext uri="{FF2B5EF4-FFF2-40B4-BE49-F238E27FC236}">
                <a16:creationId xmlns:a16="http://schemas.microsoft.com/office/drawing/2014/main" id="{00000000-0008-0000-0100-000005000000}"/>
              </a:ext>
            </a:extLst>
          </xdr:cNvPr>
          <xdr:cNvSpPr/>
        </xdr:nvSpPr>
        <xdr:spPr>
          <a:xfrm>
            <a:off x="34766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305175" y="1514475"/>
            <a:ext cx="954428"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Description</a:t>
            </a:r>
          </a:p>
        </xdr:txBody>
      </xdr:sp>
      <xdr:pic>
        <xdr:nvPicPr>
          <xdr:cNvPr id="20" name="Graphic 19" descr="Document">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590926" y="962026"/>
            <a:ext cx="416774" cy="416774"/>
          </a:xfrm>
          <a:prstGeom prst="rect">
            <a:avLst/>
          </a:prstGeom>
        </xdr:spPr>
      </xdr:pic>
    </xdr:grpSp>
    <xdr:clientData/>
  </xdr:twoCellAnchor>
  <xdr:twoCellAnchor editAs="absolute">
    <xdr:from>
      <xdr:col>10</xdr:col>
      <xdr:colOff>598585</xdr:colOff>
      <xdr:row>1</xdr:row>
      <xdr:rowOff>190499</xdr:rowOff>
    </xdr:from>
    <xdr:to>
      <xdr:col>11</xdr:col>
      <xdr:colOff>359966</xdr:colOff>
      <xdr:row>6</xdr:row>
      <xdr:rowOff>164594</xdr:rowOff>
    </xdr:to>
    <xdr:grpSp>
      <xdr:nvGrpSpPr>
        <xdr:cNvPr id="29696" name="Group 29695">
          <a:hlinkClick xmlns:r="http://schemas.openxmlformats.org/officeDocument/2006/relationships" r:id="rId6"/>
          <a:extLst>
            <a:ext uri="{FF2B5EF4-FFF2-40B4-BE49-F238E27FC236}">
              <a16:creationId xmlns:a16="http://schemas.microsoft.com/office/drawing/2014/main" id="{00000000-0008-0000-0100-000000740000}"/>
            </a:ext>
          </a:extLst>
        </xdr:cNvPr>
        <xdr:cNvGrpSpPr/>
      </xdr:nvGrpSpPr>
      <xdr:grpSpPr>
        <a:xfrm>
          <a:off x="8912323" y="797718"/>
          <a:ext cx="698799" cy="982951"/>
          <a:chOff x="6686549" y="857249"/>
          <a:chExt cx="638175" cy="926595"/>
        </a:xfrm>
      </xdr:grpSpPr>
      <xdr:sp macro="" textlink="">
        <xdr:nvSpPr>
          <xdr:cNvPr id="16" name="Oval 15">
            <a:extLst>
              <a:ext uri="{FF2B5EF4-FFF2-40B4-BE49-F238E27FC236}">
                <a16:creationId xmlns:a16="http://schemas.microsoft.com/office/drawing/2014/main" id="{00000000-0008-0000-0100-000010000000}"/>
              </a:ext>
            </a:extLst>
          </xdr:cNvPr>
          <xdr:cNvSpPr/>
        </xdr:nvSpPr>
        <xdr:spPr>
          <a:xfrm>
            <a:off x="6686549"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6715125" y="1514475"/>
            <a:ext cx="578043"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Costs</a:t>
            </a:r>
          </a:p>
        </xdr:txBody>
      </xdr:sp>
      <xdr:pic>
        <xdr:nvPicPr>
          <xdr:cNvPr id="25" name="Graphic 24" descr="Money">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798451" y="950101"/>
            <a:ext cx="416774" cy="416774"/>
          </a:xfrm>
          <a:prstGeom prst="rect">
            <a:avLst/>
          </a:prstGeom>
        </xdr:spPr>
      </xdr:pic>
    </xdr:grpSp>
    <xdr:clientData/>
  </xdr:twoCellAnchor>
  <xdr:twoCellAnchor editAs="absolute">
    <xdr:from>
      <xdr:col>8</xdr:col>
      <xdr:colOff>752762</xdr:colOff>
      <xdr:row>1</xdr:row>
      <xdr:rowOff>190499</xdr:rowOff>
    </xdr:from>
    <xdr:to>
      <xdr:col>9</xdr:col>
      <xdr:colOff>25475</xdr:colOff>
      <xdr:row>6</xdr:row>
      <xdr:rowOff>164594</xdr:rowOff>
    </xdr:to>
    <xdr:grpSp>
      <xdr:nvGrpSpPr>
        <xdr:cNvPr id="31" name="Group 30">
          <a:hlinkClick xmlns:r="http://schemas.openxmlformats.org/officeDocument/2006/relationships" r:id="rId9"/>
          <a:extLst>
            <a:ext uri="{FF2B5EF4-FFF2-40B4-BE49-F238E27FC236}">
              <a16:creationId xmlns:a16="http://schemas.microsoft.com/office/drawing/2014/main" id="{00000000-0008-0000-0100-00001F000000}"/>
            </a:ext>
          </a:extLst>
        </xdr:cNvPr>
        <xdr:cNvGrpSpPr/>
      </xdr:nvGrpSpPr>
      <xdr:grpSpPr>
        <a:xfrm>
          <a:off x="6940837" y="797718"/>
          <a:ext cx="755438" cy="982951"/>
          <a:chOff x="5153024" y="857249"/>
          <a:chExt cx="638175" cy="926595"/>
        </a:xfrm>
      </xdr:grpSpPr>
      <xdr:sp macro="" textlink="">
        <xdr:nvSpPr>
          <xdr:cNvPr id="15" name="Oval 14">
            <a:extLst>
              <a:ext uri="{FF2B5EF4-FFF2-40B4-BE49-F238E27FC236}">
                <a16:creationId xmlns:a16="http://schemas.microsoft.com/office/drawing/2014/main" id="{00000000-0008-0000-0100-00000F000000}"/>
              </a:ext>
            </a:extLst>
          </xdr:cNvPr>
          <xdr:cNvSpPr/>
        </xdr:nvSpPr>
        <xdr:spPr>
          <a:xfrm>
            <a:off x="5153024"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91125" y="1514475"/>
            <a:ext cx="5783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Value</a:t>
            </a:r>
          </a:p>
        </xdr:txBody>
      </xdr:sp>
      <xdr:pic>
        <xdr:nvPicPr>
          <xdr:cNvPr id="27" name="Graphic 26" descr="Diamond">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5272051" y="995326"/>
            <a:ext cx="416774" cy="416774"/>
          </a:xfrm>
          <a:prstGeom prst="rect">
            <a:avLst/>
          </a:prstGeom>
        </xdr:spPr>
      </xdr:pic>
    </xdr:grpSp>
    <xdr:clientData/>
  </xdr:twoCellAnchor>
  <xdr:twoCellAnchor editAs="absolute">
    <xdr:from>
      <xdr:col>13</xdr:col>
      <xdr:colOff>930563</xdr:colOff>
      <xdr:row>1</xdr:row>
      <xdr:rowOff>190499</xdr:rowOff>
    </xdr:from>
    <xdr:to>
      <xdr:col>13</xdr:col>
      <xdr:colOff>1800913</xdr:colOff>
      <xdr:row>6</xdr:row>
      <xdr:rowOff>164594</xdr:rowOff>
    </xdr:to>
    <xdr:grpSp>
      <xdr:nvGrpSpPr>
        <xdr:cNvPr id="29699" name="Group 29698">
          <a:hlinkClick xmlns:r="http://schemas.openxmlformats.org/officeDocument/2006/relationships" r:id="rId12"/>
          <a:extLst>
            <a:ext uri="{FF2B5EF4-FFF2-40B4-BE49-F238E27FC236}">
              <a16:creationId xmlns:a16="http://schemas.microsoft.com/office/drawing/2014/main" id="{00000000-0008-0000-0100-000003740000}"/>
            </a:ext>
          </a:extLst>
        </xdr:cNvPr>
        <xdr:cNvGrpSpPr/>
      </xdr:nvGrpSpPr>
      <xdr:grpSpPr>
        <a:xfrm>
          <a:off x="10836563" y="797718"/>
          <a:ext cx="867175" cy="982951"/>
          <a:chOff x="8172450" y="857249"/>
          <a:chExt cx="792012" cy="926595"/>
        </a:xfrm>
      </xdr:grpSpPr>
      <xdr:sp macro="" textlink="">
        <xdr:nvSpPr>
          <xdr:cNvPr id="17" name="Oval 16">
            <a:extLst>
              <a:ext uri="{FF2B5EF4-FFF2-40B4-BE49-F238E27FC236}">
                <a16:creationId xmlns:a16="http://schemas.microsoft.com/office/drawing/2014/main" id="{00000000-0008-0000-0100-000011000000}"/>
              </a:ext>
            </a:extLst>
          </xdr:cNvPr>
          <xdr:cNvSpPr/>
        </xdr:nvSpPr>
        <xdr:spPr>
          <a:xfrm>
            <a:off x="8248649"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8172450" y="1514475"/>
            <a:ext cx="79201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Contacts</a:t>
            </a:r>
          </a:p>
        </xdr:txBody>
      </xdr:sp>
      <xdr:pic>
        <xdr:nvPicPr>
          <xdr:cNvPr id="29" name="Graphic 28" descr="Target Audience">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365276" y="973876"/>
            <a:ext cx="416774" cy="416774"/>
          </a:xfrm>
          <a:prstGeom prst="rect">
            <a:avLst/>
          </a:prstGeom>
        </xdr:spPr>
      </xdr:pic>
    </xdr:grpSp>
    <xdr:clientData/>
  </xdr:twoCellAnchor>
  <xdr:twoCellAnchor editAs="oneCell">
    <xdr:from>
      <xdr:col>14</xdr:col>
      <xdr:colOff>38100</xdr:colOff>
      <xdr:row>8</xdr:row>
      <xdr:rowOff>19050</xdr:rowOff>
    </xdr:from>
    <xdr:to>
      <xdr:col>14</xdr:col>
      <xdr:colOff>220980</xdr:colOff>
      <xdr:row>8</xdr:row>
      <xdr:rowOff>201930</xdr:rowOff>
    </xdr:to>
    <xdr:pic>
      <xdr:nvPicPr>
        <xdr:cNvPr id="36" name="Graphic 35" descr="Help">
          <a:hlinkClick xmlns:r="http://schemas.openxmlformats.org/officeDocument/2006/relationships" r:id="rId1" tooltip="Please describe the issue you are trying to solve."/>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82600" y="2028825"/>
          <a:ext cx="182880" cy="182880"/>
        </a:xfrm>
        <a:prstGeom prst="rect">
          <a:avLst/>
        </a:prstGeom>
      </xdr:spPr>
    </xdr:pic>
    <xdr:clientData/>
  </xdr:twoCellAnchor>
  <xdr:twoCellAnchor editAs="oneCell">
    <xdr:from>
      <xdr:col>14</xdr:col>
      <xdr:colOff>38100</xdr:colOff>
      <xdr:row>16</xdr:row>
      <xdr:rowOff>28575</xdr:rowOff>
    </xdr:from>
    <xdr:to>
      <xdr:col>14</xdr:col>
      <xdr:colOff>220980</xdr:colOff>
      <xdr:row>16</xdr:row>
      <xdr:rowOff>211455</xdr:rowOff>
    </xdr:to>
    <xdr:pic>
      <xdr:nvPicPr>
        <xdr:cNvPr id="37" name="Graphic 36" descr="Help">
          <a:hlinkClick xmlns:r="http://schemas.openxmlformats.org/officeDocument/2006/relationships" r:id="rId1" tooltip="Please describe how can the Use Case help to tackle the issue."/>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73075" y="4362450"/>
          <a:ext cx="182880" cy="182880"/>
        </a:xfrm>
        <a:prstGeom prst="rect">
          <a:avLst/>
        </a:prstGeom>
      </xdr:spPr>
    </xdr:pic>
    <xdr:clientData/>
  </xdr:twoCellAnchor>
  <xdr:twoCellAnchor editAs="oneCell">
    <xdr:from>
      <xdr:col>14</xdr:col>
      <xdr:colOff>38100</xdr:colOff>
      <xdr:row>22</xdr:row>
      <xdr:rowOff>28575</xdr:rowOff>
    </xdr:from>
    <xdr:to>
      <xdr:col>14</xdr:col>
      <xdr:colOff>220980</xdr:colOff>
      <xdr:row>22</xdr:row>
      <xdr:rowOff>211455</xdr:rowOff>
    </xdr:to>
    <xdr:pic>
      <xdr:nvPicPr>
        <xdr:cNvPr id="38" name="Graphic 37" descr="Help">
          <a:hlinkClick xmlns:r="http://schemas.openxmlformats.org/officeDocument/2006/relationships" r:id="rId1" tooltip="Please describe how does the user interact with the system. "/>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73075" y="6105525"/>
          <a:ext cx="182880" cy="182880"/>
        </a:xfrm>
        <a:prstGeom prst="rect">
          <a:avLst/>
        </a:prstGeom>
      </xdr:spPr>
    </xdr:pic>
    <xdr:clientData/>
  </xdr:twoCellAnchor>
  <xdr:twoCellAnchor editAs="oneCell">
    <xdr:from>
      <xdr:col>9</xdr:col>
      <xdr:colOff>47625</xdr:colOff>
      <xdr:row>22</xdr:row>
      <xdr:rowOff>28575</xdr:rowOff>
    </xdr:from>
    <xdr:to>
      <xdr:col>9</xdr:col>
      <xdr:colOff>230505</xdr:colOff>
      <xdr:row>22</xdr:row>
      <xdr:rowOff>211455</xdr:rowOff>
    </xdr:to>
    <xdr:pic>
      <xdr:nvPicPr>
        <xdr:cNvPr id="39" name="Graphic 38" descr="Help">
          <a:hlinkClick xmlns:r="http://schemas.openxmlformats.org/officeDocument/2006/relationships" r:id="rId1" tooltip="Please describe what the decision/ task that you would like to use machine learning for."/>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1800" y="6105525"/>
          <a:ext cx="182880" cy="182880"/>
        </a:xfrm>
        <a:prstGeom prst="rect">
          <a:avLst/>
        </a:prstGeom>
      </xdr:spPr>
    </xdr:pic>
    <xdr:clientData/>
  </xdr:twoCellAnchor>
  <xdr:twoCellAnchor>
    <xdr:from>
      <xdr:col>13</xdr:col>
      <xdr:colOff>3495675</xdr:colOff>
      <xdr:row>92</xdr:row>
      <xdr:rowOff>114300</xdr:rowOff>
    </xdr:from>
    <xdr:to>
      <xdr:col>14</xdr:col>
      <xdr:colOff>144399</xdr:colOff>
      <xdr:row>96</xdr:row>
      <xdr:rowOff>0</xdr:rowOff>
    </xdr:to>
    <xdr:grpSp>
      <xdr:nvGrpSpPr>
        <xdr:cNvPr id="29722" name="Group 29721">
          <a:hlinkClick xmlns:r="http://schemas.openxmlformats.org/officeDocument/2006/relationships" r:id="rId9"/>
          <a:extLst>
            <a:ext uri="{FF2B5EF4-FFF2-40B4-BE49-F238E27FC236}">
              <a16:creationId xmlns:a16="http://schemas.microsoft.com/office/drawing/2014/main" id="{00000000-0008-0000-0100-00001A740000}"/>
            </a:ext>
          </a:extLst>
        </xdr:cNvPr>
        <xdr:cNvGrpSpPr/>
      </xdr:nvGrpSpPr>
      <xdr:grpSpPr>
        <a:xfrm>
          <a:off x="13398500" y="45000863"/>
          <a:ext cx="839724" cy="671512"/>
          <a:chOff x="6610350" y="7724775"/>
          <a:chExt cx="819150" cy="819150"/>
        </a:xfrm>
      </xdr:grpSpPr>
      <xdr:sp macro="" textlink="">
        <xdr:nvSpPr>
          <xdr:cNvPr id="29721" name="Oval 29720">
            <a:extLst>
              <a:ext uri="{FF2B5EF4-FFF2-40B4-BE49-F238E27FC236}">
                <a16:creationId xmlns:a16="http://schemas.microsoft.com/office/drawing/2014/main" id="{00000000-0008-0000-0100-00001974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9720" name="Graphic 29719" descr="Line arrow Straight">
            <a:extLst>
              <a:ext uri="{FF2B5EF4-FFF2-40B4-BE49-F238E27FC236}">
                <a16:creationId xmlns:a16="http://schemas.microsoft.com/office/drawing/2014/main" id="{00000000-0008-0000-0100-00001874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0800000">
            <a:off x="6781799" y="7924799"/>
            <a:ext cx="457200" cy="457200"/>
          </a:xfrm>
          <a:prstGeom prst="rect">
            <a:avLst/>
          </a:prstGeom>
        </xdr:spPr>
      </xdr:pic>
    </xdr:grpSp>
    <xdr:clientData/>
  </xdr:twoCellAnchor>
  <xdr:twoCellAnchor>
    <xdr:from>
      <xdr:col>12</xdr:col>
      <xdr:colOff>169069</xdr:colOff>
      <xdr:row>30</xdr:row>
      <xdr:rowOff>38100</xdr:rowOff>
    </xdr:from>
    <xdr:to>
      <xdr:col>12</xdr:col>
      <xdr:colOff>169069</xdr:colOff>
      <xdr:row>31</xdr:row>
      <xdr:rowOff>7620</xdr:rowOff>
    </xdr:to>
    <xdr:cxnSp macro="">
      <xdr:nvCxnSpPr>
        <xdr:cNvPr id="29726" name="Straight Connector 29725">
          <a:extLst>
            <a:ext uri="{FF2B5EF4-FFF2-40B4-BE49-F238E27FC236}">
              <a16:creationId xmlns:a16="http://schemas.microsoft.com/office/drawing/2014/main" id="{00000000-0008-0000-0100-00001E740000}"/>
            </a:ext>
          </a:extLst>
        </xdr:cNvPr>
        <xdr:cNvCxnSpPr/>
      </xdr:nvCxnSpPr>
      <xdr:spPr>
        <a:xfrm>
          <a:off x="9113044" y="8420100"/>
          <a:ext cx="0" cy="731520"/>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606879</xdr:colOff>
      <xdr:row>6</xdr:row>
      <xdr:rowOff>195939</xdr:rowOff>
    </xdr:from>
    <xdr:to>
      <xdr:col>14</xdr:col>
      <xdr:colOff>606879</xdr:colOff>
      <xdr:row>97</xdr:row>
      <xdr:rowOff>199749</xdr:rowOff>
    </xdr:to>
    <xdr:cxnSp macro="">
      <xdr:nvCxnSpPr>
        <xdr:cNvPr id="85" name="Straight Connector 84">
          <a:extLst>
            <a:ext uri="{FF2B5EF4-FFF2-40B4-BE49-F238E27FC236}">
              <a16:creationId xmlns:a16="http://schemas.microsoft.com/office/drawing/2014/main" id="{00000000-0008-0000-0100-000055000000}"/>
            </a:ext>
          </a:extLst>
        </xdr:cNvPr>
        <xdr:cNvCxnSpPr/>
      </xdr:nvCxnSpPr>
      <xdr:spPr>
        <a:xfrm>
          <a:off x="12592050" y="1812468"/>
          <a:ext cx="0" cy="815721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606879</xdr:colOff>
      <xdr:row>1</xdr:row>
      <xdr:rowOff>8159</xdr:rowOff>
    </xdr:from>
    <xdr:to>
      <xdr:col>14</xdr:col>
      <xdr:colOff>606879</xdr:colOff>
      <xdr:row>6</xdr:row>
      <xdr:rowOff>189950</xdr:rowOff>
    </xdr:to>
    <xdr:cxnSp macro="">
      <xdr:nvCxnSpPr>
        <xdr:cNvPr id="105" name="Straight Connector 104">
          <a:extLst>
            <a:ext uri="{FF2B5EF4-FFF2-40B4-BE49-F238E27FC236}">
              <a16:creationId xmlns:a16="http://schemas.microsoft.com/office/drawing/2014/main" id="{00000000-0008-0000-0100-000069000000}"/>
            </a:ext>
          </a:extLst>
        </xdr:cNvPr>
        <xdr:cNvCxnSpPr/>
      </xdr:nvCxnSpPr>
      <xdr:spPr>
        <a:xfrm>
          <a:off x="12588113" y="616138"/>
          <a:ext cx="0" cy="1174823"/>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98</xdr:row>
      <xdr:rowOff>0</xdr:rowOff>
    </xdr:from>
    <xdr:to>
      <xdr:col>15</xdr:col>
      <xdr:colOff>45983</xdr:colOff>
      <xdr:row>98</xdr:row>
      <xdr:rowOff>0</xdr:rowOff>
    </xdr:to>
    <xdr:cxnSp macro="">
      <xdr:nvCxnSpPr>
        <xdr:cNvPr id="93" name="Straight Connector 92">
          <a:extLst>
            <a:ext uri="{FF2B5EF4-FFF2-40B4-BE49-F238E27FC236}">
              <a16:creationId xmlns:a16="http://schemas.microsoft.com/office/drawing/2014/main" id="{00000000-0008-0000-0100-00005D000000}"/>
            </a:ext>
          </a:extLst>
        </xdr:cNvPr>
        <xdr:cNvCxnSpPr/>
      </xdr:nvCxnSpPr>
      <xdr:spPr>
        <a:xfrm>
          <a:off x="387569" y="9886293"/>
          <a:ext cx="12251121"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2</xdr:col>
      <xdr:colOff>774573</xdr:colOff>
      <xdr:row>10</xdr:row>
      <xdr:rowOff>115824</xdr:rowOff>
    </xdr:to>
    <xdr:sp macro="" textlink="">
      <xdr:nvSpPr>
        <xdr:cNvPr id="99" name="Right Triangle 98">
          <a:extLst>
            <a:ext uri="{FF2B5EF4-FFF2-40B4-BE49-F238E27FC236}">
              <a16:creationId xmlns:a16="http://schemas.microsoft.com/office/drawing/2014/main" id="{00000000-0008-0000-0100-000063000000}"/>
            </a:ext>
          </a:extLst>
        </xdr:cNvPr>
        <xdr:cNvSpPr/>
      </xdr:nvSpPr>
      <xdr:spPr>
        <a:xfrm rot="5400000">
          <a:off x="-246888" y="246888"/>
          <a:ext cx="2706624" cy="2212848"/>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389281</xdr:colOff>
      <xdr:row>7</xdr:row>
      <xdr:rowOff>3312</xdr:rowOff>
    </xdr:from>
    <xdr:to>
      <xdr:col>2</xdr:col>
      <xdr:colOff>13250</xdr:colOff>
      <xdr:row>13</xdr:row>
      <xdr:rowOff>19050</xdr:rowOff>
    </xdr:to>
    <xdr:sp macro="" textlink="">
      <xdr:nvSpPr>
        <xdr:cNvPr id="114" name="Rectangle 113">
          <a:extLst>
            <a:ext uri="{FF2B5EF4-FFF2-40B4-BE49-F238E27FC236}">
              <a16:creationId xmlns:a16="http://schemas.microsoft.com/office/drawing/2014/main" id="{00000000-0008-0000-0100-000072000000}"/>
            </a:ext>
          </a:extLst>
        </xdr:cNvPr>
        <xdr:cNvSpPr/>
      </xdr:nvSpPr>
      <xdr:spPr>
        <a:xfrm>
          <a:off x="389281" y="1813062"/>
          <a:ext cx="871744" cy="175881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116" name="Right Triangle 115">
          <a:extLst>
            <a:ext uri="{FF2B5EF4-FFF2-40B4-BE49-F238E27FC236}">
              <a16:creationId xmlns:a16="http://schemas.microsoft.com/office/drawing/2014/main" id="{00000000-0008-0000-0100-000074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389281</xdr:colOff>
      <xdr:row>1</xdr:row>
      <xdr:rowOff>8281</xdr:rowOff>
    </xdr:from>
    <xdr:to>
      <xdr:col>3</xdr:col>
      <xdr:colOff>115342</xdr:colOff>
      <xdr:row>6</xdr:row>
      <xdr:rowOff>189257</xdr:rowOff>
    </xdr:to>
    <xdr:sp macro="" textlink="">
      <xdr:nvSpPr>
        <xdr:cNvPr id="100" name="Rectangle 99">
          <a:extLst>
            <a:ext uri="{FF2B5EF4-FFF2-40B4-BE49-F238E27FC236}">
              <a16:creationId xmlns:a16="http://schemas.microsoft.com/office/drawing/2014/main" id="{00000000-0008-0000-0100-000064000000}"/>
            </a:ext>
          </a:extLst>
        </xdr:cNvPr>
        <xdr:cNvSpPr/>
      </xdr:nvSpPr>
      <xdr:spPr>
        <a:xfrm>
          <a:off x="389281" y="617881"/>
          <a:ext cx="2459736" cy="1133476"/>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2</xdr:col>
      <xdr:colOff>1266826</xdr:colOff>
      <xdr:row>5</xdr:row>
      <xdr:rowOff>77618</xdr:rowOff>
    </xdr:to>
    <xdr:pic>
      <xdr:nvPicPr>
        <xdr:cNvPr id="7" name="Graphic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9" name="Graphic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514350" y="1047751"/>
          <a:ext cx="648728" cy="428624"/>
        </a:xfrm>
        <a:prstGeom prst="rect">
          <a:avLst/>
        </a:prstGeom>
      </xdr:spPr>
    </xdr:pic>
    <xdr:clientData/>
  </xdr:twoCellAnchor>
  <xdr:twoCellAnchor>
    <xdr:from>
      <xdr:col>12</xdr:col>
      <xdr:colOff>169069</xdr:colOff>
      <xdr:row>35</xdr:row>
      <xdr:rowOff>228599</xdr:rowOff>
    </xdr:from>
    <xdr:to>
      <xdr:col>12</xdr:col>
      <xdr:colOff>169069</xdr:colOff>
      <xdr:row>37</xdr:row>
      <xdr:rowOff>424814</xdr:rowOff>
    </xdr:to>
    <xdr:cxnSp macro="">
      <xdr:nvCxnSpPr>
        <xdr:cNvPr id="40" name="Straight Connector 39">
          <a:extLst>
            <a:ext uri="{FF2B5EF4-FFF2-40B4-BE49-F238E27FC236}">
              <a16:creationId xmlns:a16="http://schemas.microsoft.com/office/drawing/2014/main" id="{00000000-0008-0000-0100-000028000000}"/>
            </a:ext>
          </a:extLst>
        </xdr:cNvPr>
        <xdr:cNvCxnSpPr/>
      </xdr:nvCxnSpPr>
      <xdr:spPr>
        <a:xfrm>
          <a:off x="9113044" y="10896599"/>
          <a:ext cx="0" cy="1005840"/>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169069</xdr:colOff>
      <xdr:row>41</xdr:row>
      <xdr:rowOff>219074</xdr:rowOff>
    </xdr:from>
    <xdr:to>
      <xdr:col>12</xdr:col>
      <xdr:colOff>169069</xdr:colOff>
      <xdr:row>43</xdr:row>
      <xdr:rowOff>443864</xdr:rowOff>
    </xdr:to>
    <xdr:cxnSp macro="">
      <xdr:nvCxnSpPr>
        <xdr:cNvPr id="51" name="Straight Connector 50">
          <a:extLst>
            <a:ext uri="{FF2B5EF4-FFF2-40B4-BE49-F238E27FC236}">
              <a16:creationId xmlns:a16="http://schemas.microsoft.com/office/drawing/2014/main" id="{00000000-0008-0000-0100-000033000000}"/>
            </a:ext>
          </a:extLst>
        </xdr:cNvPr>
        <xdr:cNvCxnSpPr/>
      </xdr:nvCxnSpPr>
      <xdr:spPr>
        <a:xfrm>
          <a:off x="9113044" y="12887324"/>
          <a:ext cx="0" cy="1034415"/>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169069</xdr:colOff>
      <xdr:row>47</xdr:row>
      <xdr:rowOff>57148</xdr:rowOff>
    </xdr:from>
    <xdr:to>
      <xdr:col>12</xdr:col>
      <xdr:colOff>169069</xdr:colOff>
      <xdr:row>49</xdr:row>
      <xdr:rowOff>619123</xdr:rowOff>
    </xdr:to>
    <xdr:cxnSp macro="">
      <xdr:nvCxnSpPr>
        <xdr:cNvPr id="53" name="Straight Connector 52">
          <a:extLst>
            <a:ext uri="{FF2B5EF4-FFF2-40B4-BE49-F238E27FC236}">
              <a16:creationId xmlns:a16="http://schemas.microsoft.com/office/drawing/2014/main" id="{00000000-0008-0000-0100-000035000000}"/>
            </a:ext>
          </a:extLst>
        </xdr:cNvPr>
        <xdr:cNvCxnSpPr/>
      </xdr:nvCxnSpPr>
      <xdr:spPr>
        <a:xfrm>
          <a:off x="9113044" y="14725648"/>
          <a:ext cx="0" cy="1371600"/>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230505</xdr:colOff>
      <xdr:row>48</xdr:row>
      <xdr:rowOff>43815</xdr:rowOff>
    </xdr:from>
    <xdr:to>
      <xdr:col>12</xdr:col>
      <xdr:colOff>163830</xdr:colOff>
      <xdr:row>48</xdr:row>
      <xdr:rowOff>47625</xdr:rowOff>
    </xdr:to>
    <xdr:cxnSp macro="">
      <xdr:nvCxnSpPr>
        <xdr:cNvPr id="54" name="Straight Connector 53">
          <a:extLst>
            <a:ext uri="{FF2B5EF4-FFF2-40B4-BE49-F238E27FC236}">
              <a16:creationId xmlns:a16="http://schemas.microsoft.com/office/drawing/2014/main" id="{00000000-0008-0000-0100-000036000000}"/>
            </a:ext>
          </a:extLst>
        </xdr:cNvPr>
        <xdr:cNvCxnSpPr>
          <a:stCxn id="19" idx="3"/>
        </xdr:cNvCxnSpPr>
      </xdr:nvCxnSpPr>
      <xdr:spPr>
        <a:xfrm>
          <a:off x="6964680" y="15331440"/>
          <a:ext cx="2143125" cy="3810"/>
        </a:xfrm>
        <a:prstGeom prst="line">
          <a:avLst/>
        </a:prstGeom>
        <a:ln>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47</xdr:row>
      <xdr:rowOff>571500</xdr:rowOff>
    </xdr:from>
    <xdr:to>
      <xdr:col>9</xdr:col>
      <xdr:colOff>230505</xdr:colOff>
      <xdr:row>48</xdr:row>
      <xdr:rowOff>135255</xdr:rowOff>
    </xdr:to>
    <xdr:grpSp>
      <xdr:nvGrpSpPr>
        <xdr:cNvPr id="26" name="Group 25">
          <a:extLst>
            <a:ext uri="{FF2B5EF4-FFF2-40B4-BE49-F238E27FC236}">
              <a16:creationId xmlns:a16="http://schemas.microsoft.com/office/drawing/2014/main" id="{00000000-0008-0000-0100-00001A000000}"/>
            </a:ext>
          </a:extLst>
        </xdr:cNvPr>
        <xdr:cNvGrpSpPr/>
      </xdr:nvGrpSpPr>
      <xdr:grpSpPr>
        <a:xfrm>
          <a:off x="7712075" y="15275719"/>
          <a:ext cx="186055" cy="182880"/>
          <a:chOff x="7772400" y="13287375"/>
          <a:chExt cx="304800" cy="304800"/>
        </a:xfrm>
      </xdr:grpSpPr>
      <xdr:sp macro="" textlink="">
        <xdr:nvSpPr>
          <xdr:cNvPr id="24" name="Oval 23">
            <a:extLst>
              <a:ext uri="{FF2B5EF4-FFF2-40B4-BE49-F238E27FC236}">
                <a16:creationId xmlns:a16="http://schemas.microsoft.com/office/drawing/2014/main" id="{00000000-0008-0000-0100-000018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9" name="Graphic 18" descr="Information">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772400" y="13287375"/>
            <a:ext cx="304800" cy="304800"/>
          </a:xfrm>
          <a:prstGeom prst="rect">
            <a:avLst/>
          </a:prstGeom>
        </xdr:spPr>
      </xdr:pic>
    </xdr:grpSp>
    <xdr:clientData/>
  </xdr:twoCellAnchor>
  <xdr:twoCellAnchor>
    <xdr:from>
      <xdr:col>9</xdr:col>
      <xdr:colOff>230505</xdr:colOff>
      <xdr:row>42</xdr:row>
      <xdr:rowOff>91440</xdr:rowOff>
    </xdr:from>
    <xdr:to>
      <xdr:col>12</xdr:col>
      <xdr:colOff>163830</xdr:colOff>
      <xdr:row>42</xdr:row>
      <xdr:rowOff>95250</xdr:rowOff>
    </xdr:to>
    <xdr:cxnSp macro="">
      <xdr:nvCxnSpPr>
        <xdr:cNvPr id="64" name="Straight Connector 63">
          <a:extLst>
            <a:ext uri="{FF2B5EF4-FFF2-40B4-BE49-F238E27FC236}">
              <a16:creationId xmlns:a16="http://schemas.microsoft.com/office/drawing/2014/main" id="{00000000-0008-0000-0100-000040000000}"/>
            </a:ext>
          </a:extLst>
        </xdr:cNvPr>
        <xdr:cNvCxnSpPr>
          <a:stCxn id="67" idx="3"/>
        </xdr:cNvCxnSpPr>
      </xdr:nvCxnSpPr>
      <xdr:spPr>
        <a:xfrm>
          <a:off x="6964680" y="13378815"/>
          <a:ext cx="2143125" cy="3810"/>
        </a:xfrm>
        <a:prstGeom prst="line">
          <a:avLst/>
        </a:prstGeom>
        <a:ln>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42</xdr:row>
      <xdr:rowOff>0</xdr:rowOff>
    </xdr:from>
    <xdr:to>
      <xdr:col>9</xdr:col>
      <xdr:colOff>230505</xdr:colOff>
      <xdr:row>42</xdr:row>
      <xdr:rowOff>182880</xdr:rowOff>
    </xdr:to>
    <xdr:grpSp>
      <xdr:nvGrpSpPr>
        <xdr:cNvPr id="65" name="Group 64">
          <a:extLst>
            <a:ext uri="{FF2B5EF4-FFF2-40B4-BE49-F238E27FC236}">
              <a16:creationId xmlns:a16="http://schemas.microsoft.com/office/drawing/2014/main" id="{00000000-0008-0000-0100-000041000000}"/>
            </a:ext>
          </a:extLst>
        </xdr:cNvPr>
        <xdr:cNvGrpSpPr/>
      </xdr:nvGrpSpPr>
      <xdr:grpSpPr>
        <a:xfrm>
          <a:off x="7712075" y="13323094"/>
          <a:ext cx="186055" cy="179705"/>
          <a:chOff x="7772400" y="13287375"/>
          <a:chExt cx="304800" cy="304800"/>
        </a:xfrm>
      </xdr:grpSpPr>
      <xdr:sp macro="" textlink="">
        <xdr:nvSpPr>
          <xdr:cNvPr id="66" name="Oval 65">
            <a:extLst>
              <a:ext uri="{FF2B5EF4-FFF2-40B4-BE49-F238E27FC236}">
                <a16:creationId xmlns:a16="http://schemas.microsoft.com/office/drawing/2014/main" id="{00000000-0008-0000-0100-000042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7" name="Graphic 66" descr="Information">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772400" y="13287375"/>
            <a:ext cx="304800" cy="304800"/>
          </a:xfrm>
          <a:prstGeom prst="rect">
            <a:avLst/>
          </a:prstGeom>
        </xdr:spPr>
      </xdr:pic>
    </xdr:grpSp>
    <xdr:clientData/>
  </xdr:twoCellAnchor>
  <xdr:twoCellAnchor>
    <xdr:from>
      <xdr:col>9</xdr:col>
      <xdr:colOff>230505</xdr:colOff>
      <xdr:row>36</xdr:row>
      <xdr:rowOff>100965</xdr:rowOff>
    </xdr:from>
    <xdr:to>
      <xdr:col>12</xdr:col>
      <xdr:colOff>163830</xdr:colOff>
      <xdr:row>36</xdr:row>
      <xdr:rowOff>104775</xdr:rowOff>
    </xdr:to>
    <xdr:cxnSp macro="">
      <xdr:nvCxnSpPr>
        <xdr:cNvPr id="68" name="Straight Connector 67">
          <a:extLst>
            <a:ext uri="{FF2B5EF4-FFF2-40B4-BE49-F238E27FC236}">
              <a16:creationId xmlns:a16="http://schemas.microsoft.com/office/drawing/2014/main" id="{00000000-0008-0000-0100-000044000000}"/>
            </a:ext>
          </a:extLst>
        </xdr:cNvPr>
        <xdr:cNvCxnSpPr>
          <a:stCxn id="71" idx="3"/>
        </xdr:cNvCxnSpPr>
      </xdr:nvCxnSpPr>
      <xdr:spPr>
        <a:xfrm>
          <a:off x="6964680" y="11388090"/>
          <a:ext cx="2143125" cy="3810"/>
        </a:xfrm>
        <a:prstGeom prst="line">
          <a:avLst/>
        </a:prstGeom>
        <a:ln>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36</xdr:row>
      <xdr:rowOff>9525</xdr:rowOff>
    </xdr:from>
    <xdr:to>
      <xdr:col>9</xdr:col>
      <xdr:colOff>230505</xdr:colOff>
      <xdr:row>37</xdr:row>
      <xdr:rowOff>1905</xdr:rowOff>
    </xdr:to>
    <xdr:grpSp>
      <xdr:nvGrpSpPr>
        <xdr:cNvPr id="69" name="Group 68">
          <a:extLst>
            <a:ext uri="{FF2B5EF4-FFF2-40B4-BE49-F238E27FC236}">
              <a16:creationId xmlns:a16="http://schemas.microsoft.com/office/drawing/2014/main" id="{00000000-0008-0000-0100-000045000000}"/>
            </a:ext>
          </a:extLst>
        </xdr:cNvPr>
        <xdr:cNvGrpSpPr/>
      </xdr:nvGrpSpPr>
      <xdr:grpSpPr>
        <a:xfrm>
          <a:off x="7712075" y="11329194"/>
          <a:ext cx="186055" cy="186055"/>
          <a:chOff x="7772400" y="13287375"/>
          <a:chExt cx="304800" cy="304800"/>
        </a:xfrm>
      </xdr:grpSpPr>
      <xdr:sp macro="" textlink="">
        <xdr:nvSpPr>
          <xdr:cNvPr id="70" name="Oval 69">
            <a:extLst>
              <a:ext uri="{FF2B5EF4-FFF2-40B4-BE49-F238E27FC236}">
                <a16:creationId xmlns:a16="http://schemas.microsoft.com/office/drawing/2014/main" id="{00000000-0008-0000-0100-000046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1" name="Graphic 70" descr="Information">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772400" y="13287375"/>
            <a:ext cx="304800" cy="304800"/>
          </a:xfrm>
          <a:prstGeom prst="rect">
            <a:avLst/>
          </a:prstGeom>
        </xdr:spPr>
      </xdr:pic>
    </xdr:grpSp>
    <xdr:clientData/>
  </xdr:twoCellAnchor>
  <xdr:twoCellAnchor>
    <xdr:from>
      <xdr:col>9</xdr:col>
      <xdr:colOff>230505</xdr:colOff>
      <xdr:row>30</xdr:row>
      <xdr:rowOff>390525</xdr:rowOff>
    </xdr:from>
    <xdr:to>
      <xdr:col>12</xdr:col>
      <xdr:colOff>163830</xdr:colOff>
      <xdr:row>30</xdr:row>
      <xdr:rowOff>396240</xdr:rowOff>
    </xdr:to>
    <xdr:cxnSp macro="">
      <xdr:nvCxnSpPr>
        <xdr:cNvPr id="72" name="Straight Connector 71">
          <a:extLst>
            <a:ext uri="{FF2B5EF4-FFF2-40B4-BE49-F238E27FC236}">
              <a16:creationId xmlns:a16="http://schemas.microsoft.com/office/drawing/2014/main" id="{00000000-0008-0000-0100-000048000000}"/>
            </a:ext>
          </a:extLst>
        </xdr:cNvPr>
        <xdr:cNvCxnSpPr>
          <a:stCxn id="95" idx="3"/>
        </xdr:cNvCxnSpPr>
      </xdr:nvCxnSpPr>
      <xdr:spPr>
        <a:xfrm flipV="1">
          <a:off x="6964680" y="8772525"/>
          <a:ext cx="2143125" cy="5715"/>
        </a:xfrm>
        <a:prstGeom prst="line">
          <a:avLst/>
        </a:prstGeom>
        <a:ln>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30</xdr:row>
      <xdr:rowOff>0</xdr:rowOff>
    </xdr:from>
    <xdr:to>
      <xdr:col>9</xdr:col>
      <xdr:colOff>306705</xdr:colOff>
      <xdr:row>30</xdr:row>
      <xdr:rowOff>0</xdr:rowOff>
    </xdr:to>
    <xdr:grpSp>
      <xdr:nvGrpSpPr>
        <xdr:cNvPr id="73" name="Group 72">
          <a:extLst>
            <a:ext uri="{FF2B5EF4-FFF2-40B4-BE49-F238E27FC236}">
              <a16:creationId xmlns:a16="http://schemas.microsoft.com/office/drawing/2014/main" id="{00000000-0008-0000-0100-000049000000}"/>
            </a:ext>
          </a:extLst>
        </xdr:cNvPr>
        <xdr:cNvGrpSpPr/>
      </xdr:nvGrpSpPr>
      <xdr:grpSpPr>
        <a:xfrm>
          <a:off x="7788275" y="8417719"/>
          <a:ext cx="186055" cy="0"/>
          <a:chOff x="7772400" y="13287375"/>
          <a:chExt cx="304800" cy="304800"/>
        </a:xfrm>
      </xdr:grpSpPr>
      <xdr:sp macro="" textlink="">
        <xdr:nvSpPr>
          <xdr:cNvPr id="74" name="Oval 73">
            <a:extLst>
              <a:ext uri="{FF2B5EF4-FFF2-40B4-BE49-F238E27FC236}">
                <a16:creationId xmlns:a16="http://schemas.microsoft.com/office/drawing/2014/main" id="{00000000-0008-0000-0100-00004A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5" name="Graphic 74" descr="Information">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772400" y="13287375"/>
            <a:ext cx="304800" cy="304800"/>
          </a:xfrm>
          <a:prstGeom prst="rect">
            <a:avLst/>
          </a:prstGeom>
        </xdr:spPr>
      </xdr:pic>
    </xdr:grpSp>
    <xdr:clientData/>
  </xdr:twoCellAnchor>
  <xdr:twoCellAnchor>
    <xdr:from>
      <xdr:col>15</xdr:col>
      <xdr:colOff>152401</xdr:colOff>
      <xdr:row>54</xdr:row>
      <xdr:rowOff>66675</xdr:rowOff>
    </xdr:from>
    <xdr:to>
      <xdr:col>18</xdr:col>
      <xdr:colOff>0</xdr:colOff>
      <xdr:row>58</xdr:row>
      <xdr:rowOff>85725</xdr:rowOff>
    </xdr:to>
    <xdr:grpSp>
      <xdr:nvGrpSpPr>
        <xdr:cNvPr id="4" name="Group 3">
          <a:hlinkClick xmlns:r="http://schemas.openxmlformats.org/officeDocument/2006/relationships" r:id="rId23"/>
          <a:extLst>
            <a:ext uri="{FF2B5EF4-FFF2-40B4-BE49-F238E27FC236}">
              <a16:creationId xmlns:a16="http://schemas.microsoft.com/office/drawing/2014/main" id="{00000000-0008-0000-0100-000004000000}"/>
            </a:ext>
          </a:extLst>
        </xdr:cNvPr>
        <xdr:cNvGrpSpPr/>
      </xdr:nvGrpSpPr>
      <xdr:grpSpPr>
        <a:xfrm>
          <a:off x="14892339" y="18351500"/>
          <a:ext cx="1776411" cy="1162050"/>
          <a:chOff x="13896974" y="17249775"/>
          <a:chExt cx="1724025" cy="1153887"/>
        </a:xfrm>
      </xdr:grpSpPr>
      <xdr:pic>
        <xdr:nvPicPr>
          <xdr:cNvPr id="59" name="Graphic 58" descr="Lightbulb and gear">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4477999" y="17249775"/>
            <a:ext cx="561975" cy="561975"/>
          </a:xfrm>
          <a:prstGeom prst="rect">
            <a:avLst/>
          </a:prstGeom>
        </xdr:spPr>
      </xdr:pic>
      <xdr:sp macro="" textlink="">
        <xdr:nvSpPr>
          <xdr:cNvPr id="60" name="TextBox 59">
            <a:hlinkClick xmlns:r="http://schemas.openxmlformats.org/officeDocument/2006/relationships" r:id="rId23"/>
            <a:extLst>
              <a:ext uri="{FF2B5EF4-FFF2-40B4-BE49-F238E27FC236}">
                <a16:creationId xmlns:a16="http://schemas.microsoft.com/office/drawing/2014/main" id="{00000000-0008-0000-0100-00003C000000}"/>
              </a:ext>
            </a:extLst>
          </xdr:cNvPr>
          <xdr:cNvSpPr txBox="1"/>
        </xdr:nvSpPr>
        <xdr:spPr>
          <a:xfrm>
            <a:off x="13896974" y="17868900"/>
            <a:ext cx="1724025"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000">
                <a:latin typeface="+mj-lt"/>
                <a:cs typeface="Calibri Light" panose="020F0302020204030204" pitchFamily="34" charset="0"/>
              </a:rPr>
              <a:t>Not sure about the salaries?</a:t>
            </a:r>
          </a:p>
          <a:p>
            <a:pPr algn="ctr"/>
            <a:r>
              <a:rPr lang="en-US" sz="1000">
                <a:latin typeface="+mj-lt"/>
                <a:cs typeface="Calibri Light" panose="020F0302020204030204" pitchFamily="34" charset="0"/>
              </a:rPr>
              <a:t>Click here for more info.</a:t>
            </a:r>
          </a:p>
        </xdr:txBody>
      </xdr:sp>
    </xdr:grpSp>
    <xdr:clientData/>
  </xdr:twoCellAnchor>
  <xdr:twoCellAnchor editAs="oneCell">
    <xdr:from>
      <xdr:col>9</xdr:col>
      <xdr:colOff>47625</xdr:colOff>
      <xdr:row>28</xdr:row>
      <xdr:rowOff>19050</xdr:rowOff>
    </xdr:from>
    <xdr:to>
      <xdr:col>9</xdr:col>
      <xdr:colOff>230505</xdr:colOff>
      <xdr:row>28</xdr:row>
      <xdr:rowOff>201930</xdr:rowOff>
    </xdr:to>
    <xdr:pic>
      <xdr:nvPicPr>
        <xdr:cNvPr id="90" name="Graphic 89" descr="Help">
          <a:hlinkClick xmlns:r="http://schemas.openxmlformats.org/officeDocument/2006/relationships" r:id="rId1" tooltip="How many years do you plan to evaluate the Return on Invest of the application for?"/>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1800" y="7820025"/>
          <a:ext cx="182880" cy="182880"/>
        </a:xfrm>
        <a:prstGeom prst="rect">
          <a:avLst/>
        </a:prstGeom>
      </xdr:spPr>
    </xdr:pic>
    <xdr:clientData/>
  </xdr:twoCellAnchor>
  <xdr:twoCellAnchor editAs="oneCell">
    <xdr:from>
      <xdr:col>14</xdr:col>
      <xdr:colOff>38100</xdr:colOff>
      <xdr:row>28</xdr:row>
      <xdr:rowOff>38100</xdr:rowOff>
    </xdr:from>
    <xdr:to>
      <xdr:col>14</xdr:col>
      <xdr:colOff>220980</xdr:colOff>
      <xdr:row>28</xdr:row>
      <xdr:rowOff>220980</xdr:rowOff>
    </xdr:to>
    <xdr:pic>
      <xdr:nvPicPr>
        <xdr:cNvPr id="91" name="Graphic 90" descr="Help">
          <a:hlinkClick xmlns:r="http://schemas.openxmlformats.org/officeDocument/2006/relationships" r:id="rId1" tooltip="What is the rate with which the NPV is calculated in the organization? Default is 12.5%"/>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73075" y="7839075"/>
          <a:ext cx="182880" cy="182880"/>
        </a:xfrm>
        <a:prstGeom prst="rect">
          <a:avLst/>
        </a:prstGeom>
      </xdr:spPr>
    </xdr:pic>
    <xdr:clientData/>
  </xdr:twoCellAnchor>
  <xdr:twoCellAnchor>
    <xdr:from>
      <xdr:col>9</xdr:col>
      <xdr:colOff>47625</xdr:colOff>
      <xdr:row>30</xdr:row>
      <xdr:rowOff>304800</xdr:rowOff>
    </xdr:from>
    <xdr:to>
      <xdr:col>9</xdr:col>
      <xdr:colOff>230505</xdr:colOff>
      <xdr:row>30</xdr:row>
      <xdr:rowOff>487680</xdr:rowOff>
    </xdr:to>
    <xdr:grpSp>
      <xdr:nvGrpSpPr>
        <xdr:cNvPr id="92" name="Group 91">
          <a:extLst>
            <a:ext uri="{FF2B5EF4-FFF2-40B4-BE49-F238E27FC236}">
              <a16:creationId xmlns:a16="http://schemas.microsoft.com/office/drawing/2014/main" id="{00000000-0008-0000-0100-00005C000000}"/>
            </a:ext>
          </a:extLst>
        </xdr:cNvPr>
        <xdr:cNvGrpSpPr/>
      </xdr:nvGrpSpPr>
      <xdr:grpSpPr>
        <a:xfrm>
          <a:off x="7712075" y="8722519"/>
          <a:ext cx="186055" cy="179705"/>
          <a:chOff x="7772400" y="13287375"/>
          <a:chExt cx="304800" cy="304800"/>
        </a:xfrm>
      </xdr:grpSpPr>
      <xdr:sp macro="" textlink="">
        <xdr:nvSpPr>
          <xdr:cNvPr id="94" name="Oval 93">
            <a:extLst>
              <a:ext uri="{FF2B5EF4-FFF2-40B4-BE49-F238E27FC236}">
                <a16:creationId xmlns:a16="http://schemas.microsoft.com/office/drawing/2014/main" id="{00000000-0008-0000-0100-00005E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5" name="Graphic 94" descr="Information">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772400" y="13287375"/>
            <a:ext cx="304800" cy="304800"/>
          </a:xfrm>
          <a:prstGeom prst="rect">
            <a:avLst/>
          </a:prstGeom>
        </xdr:spPr>
      </xdr:pic>
    </xdr:grpSp>
    <xdr:clientData/>
  </xdr:twoCellAnchor>
  <xdr:twoCellAnchor editAs="absolute">
    <xdr:from>
      <xdr:col>6</xdr:col>
      <xdr:colOff>487355</xdr:colOff>
      <xdr:row>0</xdr:row>
      <xdr:rowOff>602246</xdr:rowOff>
    </xdr:from>
    <xdr:to>
      <xdr:col>6</xdr:col>
      <xdr:colOff>676585</xdr:colOff>
      <xdr:row>1</xdr:row>
      <xdr:rowOff>169872</xdr:rowOff>
    </xdr:to>
    <xdr:pic>
      <xdr:nvPicPr>
        <xdr:cNvPr id="11" name="Graphic 10" descr="Play">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rot="5400000">
          <a:off x="4849457" y="596244"/>
          <a:ext cx="183576" cy="182880"/>
        </a:xfrm>
        <a:prstGeom prst="rect">
          <a:avLst/>
        </a:prstGeom>
      </xdr:spPr>
    </xdr:pic>
    <xdr:clientData/>
  </xdr:twoCellAnchor>
  <xdr:twoCellAnchor editAs="oneCell">
    <xdr:from>
      <xdr:col>1</xdr:col>
      <xdr:colOff>28575</xdr:colOff>
      <xdr:row>0</xdr:row>
      <xdr:rowOff>123825</xdr:rowOff>
    </xdr:from>
    <xdr:to>
      <xdr:col>1</xdr:col>
      <xdr:colOff>552450</xdr:colOff>
      <xdr:row>1</xdr:row>
      <xdr:rowOff>38100</xdr:rowOff>
    </xdr:to>
    <xdr:pic>
      <xdr:nvPicPr>
        <xdr:cNvPr id="41" name="Graphic 40" descr="Home">
          <a:hlinkClick xmlns:r="http://schemas.openxmlformats.org/officeDocument/2006/relationships" r:id="rId28"/>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419100" y="123825"/>
          <a:ext cx="523875" cy="523875"/>
        </a:xfrm>
        <a:prstGeom prst="rect">
          <a:avLst/>
        </a:prstGeom>
      </xdr:spPr>
    </xdr:pic>
    <xdr:clientData/>
  </xdr:twoCellAnchor>
  <xdr:twoCellAnchor editAs="absolute">
    <xdr:from>
      <xdr:col>13</xdr:col>
      <xdr:colOff>3295650</xdr:colOff>
      <xdr:row>0</xdr:row>
      <xdr:rowOff>371475</xdr:rowOff>
    </xdr:from>
    <xdr:to>
      <xdr:col>14</xdr:col>
      <xdr:colOff>314326</xdr:colOff>
      <xdr:row>1</xdr:row>
      <xdr:rowOff>49465</xdr:rowOff>
    </xdr:to>
    <xdr:grpSp>
      <xdr:nvGrpSpPr>
        <xdr:cNvPr id="96" name="Group 95">
          <a:hlinkClick xmlns:r="http://schemas.openxmlformats.org/officeDocument/2006/relationships" r:id="rId31"/>
          <a:extLst>
            <a:ext uri="{FF2B5EF4-FFF2-40B4-BE49-F238E27FC236}">
              <a16:creationId xmlns:a16="http://schemas.microsoft.com/office/drawing/2014/main" id="{00000000-0008-0000-0100-000060000000}"/>
            </a:ext>
          </a:extLst>
        </xdr:cNvPr>
        <xdr:cNvGrpSpPr/>
      </xdr:nvGrpSpPr>
      <xdr:grpSpPr>
        <a:xfrm>
          <a:off x="13201650" y="368300"/>
          <a:ext cx="1206501" cy="285209"/>
          <a:chOff x="12792075" y="371475"/>
          <a:chExt cx="1019176" cy="281240"/>
        </a:xfrm>
      </xdr:grpSpPr>
      <xdr:pic>
        <xdr:nvPicPr>
          <xdr:cNvPr id="97" name="Graphic 96" descr="Link">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2792075" y="419100"/>
            <a:ext cx="182880" cy="182880"/>
          </a:xfrm>
          <a:prstGeom prst="rect">
            <a:avLst/>
          </a:prstGeom>
        </xdr:spPr>
      </xdr:pic>
      <xdr:sp macro="" textlink="">
        <xdr:nvSpPr>
          <xdr:cNvPr id="98" name="TextBox 97">
            <a:extLst>
              <a:ext uri="{FF2B5EF4-FFF2-40B4-BE49-F238E27FC236}">
                <a16:creationId xmlns:a16="http://schemas.microsoft.com/office/drawing/2014/main" id="{00000000-0008-0000-0100-000062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oneCell">
    <xdr:from>
      <xdr:col>9</xdr:col>
      <xdr:colOff>47625</xdr:colOff>
      <xdr:row>12</xdr:row>
      <xdr:rowOff>9525</xdr:rowOff>
    </xdr:from>
    <xdr:to>
      <xdr:col>9</xdr:col>
      <xdr:colOff>230505</xdr:colOff>
      <xdr:row>12</xdr:row>
      <xdr:rowOff>192405</xdr:rowOff>
    </xdr:to>
    <xdr:pic>
      <xdr:nvPicPr>
        <xdr:cNvPr id="101" name="Graphic 100" descr="Help">
          <a:hlinkClick xmlns:r="http://schemas.openxmlformats.org/officeDocument/2006/relationships" r:id="rId1" tooltip="Does the use case belong to a family of similar use cases that are already planned/ in development/ in production?"/>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1800" y="3181350"/>
          <a:ext cx="182880" cy="182880"/>
        </a:xfrm>
        <a:prstGeom prst="rect">
          <a:avLst/>
        </a:prstGeom>
      </xdr:spPr>
    </xdr:pic>
    <xdr:clientData/>
  </xdr:twoCellAnchor>
  <xdr:twoCellAnchor editAs="absolute">
    <xdr:from>
      <xdr:col>15</xdr:col>
      <xdr:colOff>123825</xdr:colOff>
      <xdr:row>65</xdr:row>
      <xdr:rowOff>76200</xdr:rowOff>
    </xdr:from>
    <xdr:to>
      <xdr:col>18</xdr:col>
      <xdr:colOff>0</xdr:colOff>
      <xdr:row>68</xdr:row>
      <xdr:rowOff>238125</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14860588" y="21983700"/>
          <a:ext cx="1808162" cy="2468563"/>
          <a:chOff x="13868401" y="20850225"/>
          <a:chExt cx="1781174" cy="2476500"/>
        </a:xfrm>
      </xdr:grpSpPr>
      <xdr:sp macro="" textlink="">
        <xdr:nvSpPr>
          <xdr:cNvPr id="103" name="TextBox 102">
            <a:extLst>
              <a:ext uri="{FF2B5EF4-FFF2-40B4-BE49-F238E27FC236}">
                <a16:creationId xmlns:a16="http://schemas.microsoft.com/office/drawing/2014/main" id="{00000000-0008-0000-0100-000067000000}"/>
              </a:ext>
            </a:extLst>
          </xdr:cNvPr>
          <xdr:cNvSpPr txBox="1"/>
        </xdr:nvSpPr>
        <xdr:spPr>
          <a:xfrm>
            <a:off x="13868401" y="21440775"/>
            <a:ext cx="1781174" cy="188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000">
                <a:solidFill>
                  <a:schemeClr val="tx1"/>
                </a:solidFill>
                <a:latin typeface="+mj-lt"/>
                <a:cs typeface="Calibri Light" panose="020F0302020204030204" pitchFamily="34" charset="0"/>
              </a:rPr>
              <a:t>The overview presents an industry-agnostic grouping of business functions, including detailed core value impact through AI per function based on selected use cases. It can serve as an enabler for new use case exploration or</a:t>
            </a:r>
            <a:r>
              <a:rPr lang="en-US" sz="1000" baseline="0">
                <a:solidFill>
                  <a:schemeClr val="tx1"/>
                </a:solidFill>
                <a:latin typeface="+mj-lt"/>
                <a:cs typeface="Calibri Light" panose="020F0302020204030204" pitchFamily="34" charset="0"/>
              </a:rPr>
              <a:t> f</a:t>
            </a:r>
            <a:r>
              <a:rPr lang="en-US" sz="1000">
                <a:solidFill>
                  <a:schemeClr val="tx1"/>
                </a:solidFill>
                <a:latin typeface="+mj-lt"/>
                <a:cs typeface="Calibri Light" panose="020F0302020204030204" pitchFamily="34" charset="0"/>
              </a:rPr>
              <a:t>or additions to an</a:t>
            </a:r>
            <a:r>
              <a:rPr lang="en-US" sz="1000" baseline="0">
                <a:solidFill>
                  <a:schemeClr val="tx1"/>
                </a:solidFill>
                <a:latin typeface="+mj-lt"/>
                <a:cs typeface="Calibri Light" panose="020F0302020204030204" pitchFamily="34" charset="0"/>
              </a:rPr>
              <a:t> </a:t>
            </a:r>
            <a:r>
              <a:rPr lang="en-US" sz="1000">
                <a:solidFill>
                  <a:schemeClr val="tx1"/>
                </a:solidFill>
                <a:latin typeface="+mj-lt"/>
                <a:cs typeface="Calibri Light" panose="020F0302020204030204" pitchFamily="34" charset="0"/>
              </a:rPr>
              <a:t>existing AI use case portfolio. </a:t>
            </a:r>
          </a:p>
        </xdr:txBody>
      </xdr:sp>
      <xdr:pic>
        <xdr:nvPicPr>
          <xdr:cNvPr id="106" name="Graphic 105" descr="Lightbulb and gear">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4478001" y="20850225"/>
            <a:ext cx="561975" cy="561975"/>
          </a:xfrm>
          <a:prstGeom prst="rect">
            <a:avLst/>
          </a:prstGeom>
        </xdr:spPr>
      </xdr:pic>
    </xdr:grpSp>
    <xdr:clientData/>
  </xdr:twoCellAnchor>
  <xdr:twoCellAnchor>
    <xdr:from>
      <xdr:col>7</xdr:col>
      <xdr:colOff>54941</xdr:colOff>
      <xdr:row>63</xdr:row>
      <xdr:rowOff>584476</xdr:rowOff>
    </xdr:from>
    <xdr:to>
      <xdr:col>10</xdr:col>
      <xdr:colOff>861391</xdr:colOff>
      <xdr:row>64</xdr:row>
      <xdr:rowOff>89176</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753376" y="21373824"/>
          <a:ext cx="3034472"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solidFill>
                <a:srgbClr val="17948C"/>
              </a:solidFill>
              <a:latin typeface="+mn-lt"/>
              <a:cs typeface="Calibri Light" panose="020F0302020204030204" pitchFamily="34" charset="0"/>
            </a:rPr>
            <a:t>A collection of potential AI value drivers</a:t>
          </a:r>
          <a:endParaRPr lang="en-US" sz="1200">
            <a:solidFill>
              <a:srgbClr val="FF0000"/>
            </a:solidFill>
            <a:latin typeface="+mn-lt"/>
            <a:cs typeface="Calibri Light" panose="020F0302020204030204" pitchFamily="34" charset="0"/>
          </a:endParaRPr>
        </a:p>
      </xdr:txBody>
    </xdr:sp>
    <xdr:clientData/>
  </xdr:twoCellAnchor>
  <xdr:twoCellAnchor editAs="absolute">
    <xdr:from>
      <xdr:col>2</xdr:col>
      <xdr:colOff>1276351</xdr:colOff>
      <xdr:row>0</xdr:row>
      <xdr:rowOff>333375</xdr:rowOff>
    </xdr:from>
    <xdr:to>
      <xdr:col>4</xdr:col>
      <xdr:colOff>542925</xdr:colOff>
      <xdr:row>1</xdr:row>
      <xdr:rowOff>38100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2714626" y="333375"/>
          <a:ext cx="75247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4</xdr:col>
      <xdr:colOff>323850</xdr:colOff>
      <xdr:row>0</xdr:row>
      <xdr:rowOff>333375</xdr:rowOff>
    </xdr:from>
    <xdr:to>
      <xdr:col>8</xdr:col>
      <xdr:colOff>238125</xdr:colOff>
      <xdr:row>1</xdr:row>
      <xdr:rowOff>38100</xdr:rowOff>
    </xdr:to>
    <xdr:sp macro="" textlink="'1-Description'!E31">
      <xdr:nvSpPr>
        <xdr:cNvPr id="102" name="TextBox 101">
          <a:extLst>
            <a:ext uri="{FF2B5EF4-FFF2-40B4-BE49-F238E27FC236}">
              <a16:creationId xmlns:a16="http://schemas.microsoft.com/office/drawing/2014/main" id="{00000000-0008-0000-0100-000066000000}"/>
            </a:ext>
          </a:extLst>
        </xdr:cNvPr>
        <xdr:cNvSpPr txBox="1"/>
      </xdr:nvSpPr>
      <xdr:spPr>
        <a:xfrm>
          <a:off x="3248025" y="333375"/>
          <a:ext cx="29146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Post-MVP/Pre-depl. assessment</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twoCellAnchor editAs="absolute">
    <xdr:from>
      <xdr:col>13</xdr:col>
      <xdr:colOff>3219450</xdr:colOff>
      <xdr:row>2</xdr:row>
      <xdr:rowOff>9525</xdr:rowOff>
    </xdr:from>
    <xdr:to>
      <xdr:col>14</xdr:col>
      <xdr:colOff>235444</xdr:colOff>
      <xdr:row>6</xdr:row>
      <xdr:rowOff>174120</xdr:rowOff>
    </xdr:to>
    <xdr:grpSp>
      <xdr:nvGrpSpPr>
        <xdr:cNvPr id="107" name="Group 106">
          <a:hlinkClick xmlns:r="http://schemas.openxmlformats.org/officeDocument/2006/relationships" r:id="rId34"/>
          <a:extLst>
            <a:ext uri="{FF2B5EF4-FFF2-40B4-BE49-F238E27FC236}">
              <a16:creationId xmlns:a16="http://schemas.microsoft.com/office/drawing/2014/main" id="{00000000-0008-0000-0100-00006B000000}"/>
            </a:ext>
          </a:extLst>
        </xdr:cNvPr>
        <xdr:cNvGrpSpPr/>
      </xdr:nvGrpSpPr>
      <xdr:grpSpPr>
        <a:xfrm>
          <a:off x="13125450" y="815975"/>
          <a:ext cx="1210169" cy="977395"/>
          <a:chOff x="7753549" y="790575"/>
          <a:chExt cx="1022844" cy="926595"/>
        </a:xfrm>
      </xdr:grpSpPr>
      <xdr:grpSp>
        <xdr:nvGrpSpPr>
          <xdr:cNvPr id="108" name="Group 107">
            <a:extLst>
              <a:ext uri="{FF2B5EF4-FFF2-40B4-BE49-F238E27FC236}">
                <a16:creationId xmlns:a16="http://schemas.microsoft.com/office/drawing/2014/main" id="{00000000-0008-0000-0100-00006C000000}"/>
              </a:ext>
            </a:extLst>
          </xdr:cNvPr>
          <xdr:cNvGrpSpPr/>
        </xdr:nvGrpSpPr>
        <xdr:grpSpPr>
          <a:xfrm>
            <a:off x="7753549" y="790575"/>
            <a:ext cx="1022844" cy="926595"/>
            <a:chOff x="5000625" y="857249"/>
            <a:chExt cx="1022844" cy="926595"/>
          </a:xfrm>
        </xdr:grpSpPr>
        <xdr:sp macro="" textlink="">
          <xdr:nvSpPr>
            <xdr:cNvPr id="110" name="Oval 109">
              <a:extLst>
                <a:ext uri="{FF2B5EF4-FFF2-40B4-BE49-F238E27FC236}">
                  <a16:creationId xmlns:a16="http://schemas.microsoft.com/office/drawing/2014/main" id="{00000000-0008-0000-0100-00006E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11" name="TextBox 110">
              <a:extLst>
                <a:ext uri="{FF2B5EF4-FFF2-40B4-BE49-F238E27FC236}">
                  <a16:creationId xmlns:a16="http://schemas.microsoft.com/office/drawing/2014/main" id="{00000000-0008-0000-0100-00006F000000}"/>
                </a:ext>
              </a:extLst>
            </xdr:cNvPr>
            <xdr:cNvSpPr txBox="1"/>
          </xdr:nvSpPr>
          <xdr:spPr>
            <a:xfrm>
              <a:off x="5000625"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109" name="Graphic 108" descr="Bar chart">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8055750" y="912000"/>
            <a:ext cx="411480" cy="41148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606879</xdr:colOff>
      <xdr:row>6</xdr:row>
      <xdr:rowOff>195939</xdr:rowOff>
    </xdr:from>
    <xdr:to>
      <xdr:col>17</xdr:col>
      <xdr:colOff>606879</xdr:colOff>
      <xdr:row>84</xdr:row>
      <xdr:rowOff>199749</xdr:rowOff>
    </xdr:to>
    <xdr:cxnSp macro="">
      <xdr:nvCxnSpPr>
        <xdr:cNvPr id="29" name="Straight Connector 28">
          <a:extLst>
            <a:ext uri="{FF2B5EF4-FFF2-40B4-BE49-F238E27FC236}">
              <a16:creationId xmlns:a16="http://schemas.microsoft.com/office/drawing/2014/main" id="{00000000-0008-0000-0200-00001D000000}"/>
            </a:ext>
          </a:extLst>
        </xdr:cNvPr>
        <xdr:cNvCxnSpPr/>
      </xdr:nvCxnSpPr>
      <xdr:spPr>
        <a:xfrm>
          <a:off x="13751379" y="1805664"/>
          <a:ext cx="0" cy="18682335"/>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606879</xdr:colOff>
      <xdr:row>1</xdr:row>
      <xdr:rowOff>8159</xdr:rowOff>
    </xdr:from>
    <xdr:to>
      <xdr:col>17</xdr:col>
      <xdr:colOff>606879</xdr:colOff>
      <xdr:row>6</xdr:row>
      <xdr:rowOff>189950</xdr:rowOff>
    </xdr:to>
    <xdr:cxnSp macro="">
      <xdr:nvCxnSpPr>
        <xdr:cNvPr id="30" name="Straight Connector 29">
          <a:extLst>
            <a:ext uri="{FF2B5EF4-FFF2-40B4-BE49-F238E27FC236}">
              <a16:creationId xmlns:a16="http://schemas.microsoft.com/office/drawing/2014/main" id="{00000000-0008-0000-0200-00001E000000}"/>
            </a:ext>
          </a:extLst>
        </xdr:cNvPr>
        <xdr:cNvCxnSpPr/>
      </xdr:nvCxnSpPr>
      <xdr:spPr>
        <a:xfrm>
          <a:off x="13751379"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85</xdr:row>
      <xdr:rowOff>0</xdr:rowOff>
    </xdr:from>
    <xdr:to>
      <xdr:col>18</xdr:col>
      <xdr:colOff>45983</xdr:colOff>
      <xdr:row>85</xdr:row>
      <xdr:rowOff>0</xdr:rowOff>
    </xdr:to>
    <xdr:cxnSp macro="">
      <xdr:nvCxnSpPr>
        <xdr:cNvPr id="31" name="Straight Connector 30">
          <a:extLst>
            <a:ext uri="{FF2B5EF4-FFF2-40B4-BE49-F238E27FC236}">
              <a16:creationId xmlns:a16="http://schemas.microsoft.com/office/drawing/2014/main" id="{00000000-0008-0000-0200-00001F000000}"/>
            </a:ext>
          </a:extLst>
        </xdr:cNvPr>
        <xdr:cNvCxnSpPr/>
      </xdr:nvCxnSpPr>
      <xdr:spPr>
        <a:xfrm>
          <a:off x="390525" y="20488275"/>
          <a:ext cx="13409558"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2</xdr:rowOff>
    </xdr:from>
    <xdr:to>
      <xdr:col>2</xdr:col>
      <xdr:colOff>952500</xdr:colOff>
      <xdr:row>9</xdr:row>
      <xdr:rowOff>314325</xdr:rowOff>
    </xdr:to>
    <xdr:sp macro="" textlink="">
      <xdr:nvSpPr>
        <xdr:cNvPr id="32" name="Right Triangle 31">
          <a:extLst>
            <a:ext uri="{FF2B5EF4-FFF2-40B4-BE49-F238E27FC236}">
              <a16:creationId xmlns:a16="http://schemas.microsoft.com/office/drawing/2014/main" id="{00000000-0008-0000-0200-000020000000}"/>
            </a:ext>
          </a:extLst>
        </xdr:cNvPr>
        <xdr:cNvSpPr/>
      </xdr:nvSpPr>
      <xdr:spPr>
        <a:xfrm rot="5400000">
          <a:off x="-247649" y="247651"/>
          <a:ext cx="27050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34" name="Right Triangle 33">
          <a:extLst>
            <a:ext uri="{FF2B5EF4-FFF2-40B4-BE49-F238E27FC236}">
              <a16:creationId xmlns:a16="http://schemas.microsoft.com/office/drawing/2014/main" id="{00000000-0008-0000-0200-000022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3173</xdr:colOff>
      <xdr:row>1</xdr:row>
      <xdr:rowOff>1</xdr:rowOff>
    </xdr:from>
    <xdr:to>
      <xdr:col>4</xdr:col>
      <xdr:colOff>104775</xdr:colOff>
      <xdr:row>7</xdr:row>
      <xdr:rowOff>1</xdr:rowOff>
    </xdr:to>
    <xdr:sp macro="" textlink="">
      <xdr:nvSpPr>
        <xdr:cNvPr id="35" name="Rectangle 34">
          <a:extLst>
            <a:ext uri="{FF2B5EF4-FFF2-40B4-BE49-F238E27FC236}">
              <a16:creationId xmlns:a16="http://schemas.microsoft.com/office/drawing/2014/main" id="{00000000-0008-0000-0200-000023000000}"/>
            </a:ext>
          </a:extLst>
        </xdr:cNvPr>
        <xdr:cNvSpPr/>
      </xdr:nvSpPr>
      <xdr:spPr>
        <a:xfrm>
          <a:off x="389281" y="609601"/>
          <a:ext cx="2458694" cy="1143000"/>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771526</xdr:colOff>
      <xdr:row>3</xdr:row>
      <xdr:rowOff>66676</xdr:rowOff>
    </xdr:from>
    <xdr:to>
      <xdr:col>3</xdr:col>
      <xdr:colOff>152401</xdr:colOff>
      <xdr:row>5</xdr:row>
      <xdr:rowOff>77618</xdr:rowOff>
    </xdr:to>
    <xdr:pic>
      <xdr:nvPicPr>
        <xdr:cNvPr id="36" name="Graphic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37" name="Graphic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1</xdr:col>
      <xdr:colOff>379475</xdr:colOff>
      <xdr:row>79</xdr:row>
      <xdr:rowOff>114300</xdr:rowOff>
    </xdr:from>
    <xdr:to>
      <xdr:col>2</xdr:col>
      <xdr:colOff>161924</xdr:colOff>
      <xdr:row>83</xdr:row>
      <xdr:rowOff>0</xdr:rowOff>
    </xdr:to>
    <xdr:grpSp>
      <xdr:nvGrpSpPr>
        <xdr:cNvPr id="87" name="Group 86">
          <a:hlinkClick xmlns:r="http://schemas.openxmlformats.org/officeDocument/2006/relationships" r:id="rId5"/>
          <a:extLst>
            <a:ext uri="{FF2B5EF4-FFF2-40B4-BE49-F238E27FC236}">
              <a16:creationId xmlns:a16="http://schemas.microsoft.com/office/drawing/2014/main" id="{00000000-0008-0000-0200-000057000000}"/>
            </a:ext>
          </a:extLst>
        </xdr:cNvPr>
        <xdr:cNvGrpSpPr/>
      </xdr:nvGrpSpPr>
      <xdr:grpSpPr>
        <a:xfrm rot="10800000">
          <a:off x="784288" y="35118675"/>
          <a:ext cx="690499" cy="647700"/>
          <a:chOff x="6610350" y="7724775"/>
          <a:chExt cx="819150" cy="819150"/>
        </a:xfrm>
      </xdr:grpSpPr>
      <xdr:sp macro="" textlink="">
        <xdr:nvSpPr>
          <xdr:cNvPr id="88" name="Oval 87">
            <a:extLst>
              <a:ext uri="{FF2B5EF4-FFF2-40B4-BE49-F238E27FC236}">
                <a16:creationId xmlns:a16="http://schemas.microsoft.com/office/drawing/2014/main" id="{00000000-0008-0000-0200-00005800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9" name="Graphic 88" descr="Line arrow Straight">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10800000">
            <a:off x="6781799" y="7924799"/>
            <a:ext cx="457200" cy="4572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90" name="Right Triangle 89">
          <a:extLst>
            <a:ext uri="{FF2B5EF4-FFF2-40B4-BE49-F238E27FC236}">
              <a16:creationId xmlns:a16="http://schemas.microsoft.com/office/drawing/2014/main" id="{00000000-0008-0000-0200-00005A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219080</xdr:colOff>
      <xdr:row>61</xdr:row>
      <xdr:rowOff>190500</xdr:rowOff>
    </xdr:from>
    <xdr:to>
      <xdr:col>17</xdr:col>
      <xdr:colOff>333380</xdr:colOff>
      <xdr:row>65</xdr:row>
      <xdr:rowOff>904875</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8585999" y="21717000"/>
          <a:ext cx="8758237" cy="4937919"/>
          <a:chOff x="8313520" y="12068175"/>
          <a:chExt cx="5316755" cy="4933950"/>
        </a:xfrm>
      </xdr:grpSpPr>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8313520" y="12068175"/>
            <a:ext cx="1228725" cy="809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Resource expenditure for current process (time)</a:t>
            </a:r>
          </a:p>
        </xdr:txBody>
      </xdr:sp>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9591676" y="1211579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Reduction of effort through use cases (%)</a:t>
            </a:r>
          </a:p>
        </xdr:txBody>
      </xdr:sp>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10910887" y="12115799"/>
            <a:ext cx="1104900"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Cost factor (e.g., personnel costs)</a:t>
            </a:r>
          </a:p>
        </xdr:txBody>
      </xdr:sp>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12182475" y="1211579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a:t>
            </a:r>
            <a:r>
              <a:rPr lang="en-US" sz="1100" baseline="0">
                <a:solidFill>
                  <a:schemeClr val="bg1">
                    <a:lumMod val="50000"/>
                  </a:schemeClr>
                </a:solidFill>
                <a:latin typeface="+mj-lt"/>
                <a:cs typeface="Calibri Light" panose="020F0302020204030204" pitchFamily="34" charset="0"/>
              </a:rPr>
              <a:t> # </a:t>
            </a:r>
            <a:r>
              <a:rPr lang="en-US" sz="1100">
                <a:solidFill>
                  <a:schemeClr val="bg1">
                    <a:lumMod val="50000"/>
                  </a:schemeClr>
                </a:solidFill>
                <a:latin typeface="+mj-lt"/>
                <a:cs typeface="Calibri Light" panose="020F0302020204030204" pitchFamily="34" charset="0"/>
              </a:rPr>
              <a:t>of persons, processes, etc.)</a:t>
            </a:r>
          </a:p>
        </xdr:txBody>
      </xdr:sp>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9424988" y="123301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10739438" y="123301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12034838" y="123301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8313520" y="13230224"/>
            <a:ext cx="1228725" cy="657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Resource exp. for current process  (material amount)</a:t>
            </a:r>
          </a:p>
        </xdr:txBody>
      </xdr:sp>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9591676" y="1320164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Reduction of effort through use cases (%)</a:t>
            </a:r>
          </a:p>
        </xdr:txBody>
      </xdr:sp>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10910887" y="13201649"/>
            <a:ext cx="1104900"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Cost factor (e.g., material costs)</a:t>
            </a:r>
          </a:p>
        </xdr:txBody>
      </xdr:sp>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12182475" y="1320164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Scaling effect (e.g. # of processes, etc...)</a:t>
            </a:r>
          </a:p>
        </xdr:txBody>
      </xdr:sp>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9424988" y="134159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10739438" y="134159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12034838" y="134159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8313520" y="14244635"/>
            <a:ext cx="1228725" cy="652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Resource exp. for current process  (time)</a:t>
            </a:r>
          </a:p>
        </xdr:txBody>
      </xdr:sp>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9591676" y="1421129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Reduction of effort through use cases (%)</a:t>
            </a:r>
          </a:p>
        </xdr:txBody>
      </xdr:sp>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10839450" y="14211299"/>
            <a:ext cx="124777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Cost factor (e.g., machine costs)</a:t>
            </a:r>
          </a:p>
        </xdr:txBody>
      </xdr:sp>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12182475" y="1421129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Scaling effect (e.g. # of processes, etc...)</a:t>
            </a:r>
          </a:p>
        </xdr:txBody>
      </xdr:sp>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9424988" y="14425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10739438" y="14425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12034838" y="14425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8313520" y="15320962"/>
            <a:ext cx="1228725" cy="471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Addressed KPI</a:t>
            </a:r>
          </a:p>
        </xdr:txBody>
      </xdr:sp>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9525001" y="15192374"/>
            <a:ext cx="1362076"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Identified opportunities through use case (%)</a:t>
            </a:r>
          </a:p>
        </xdr:txBody>
      </xdr:sp>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10810876" y="15020925"/>
            <a:ext cx="1304924" cy="1057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Realized</a:t>
            </a:r>
            <a:r>
              <a:rPr lang="en-US" sz="1100" baseline="0">
                <a:solidFill>
                  <a:schemeClr val="bg1">
                    <a:lumMod val="50000"/>
                  </a:schemeClr>
                </a:solidFill>
                <a:latin typeface="+mj-lt"/>
                <a:cs typeface="Calibri Light" panose="020F0302020204030204" pitchFamily="34" charset="0"/>
              </a:rPr>
              <a:t> opportunity (reduction, uplift) through use case (%)</a:t>
            </a:r>
          </a:p>
        </xdr:txBody>
      </xdr:sp>
      <xdr:sp macro="" textlink="">
        <xdr:nvSpPr>
          <xdr:cNvPr id="150" name="TextBox 149">
            <a:extLst>
              <a:ext uri="{FF2B5EF4-FFF2-40B4-BE49-F238E27FC236}">
                <a16:creationId xmlns:a16="http://schemas.microsoft.com/office/drawing/2014/main" id="{00000000-0008-0000-0200-000096000000}"/>
              </a:ext>
            </a:extLst>
          </xdr:cNvPr>
          <xdr:cNvSpPr txBox="1"/>
        </xdr:nvSpPr>
        <xdr:spPr>
          <a:xfrm>
            <a:off x="12182475" y="15192374"/>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decision)</a:t>
            </a:r>
          </a:p>
        </xdr:txBody>
      </xdr:sp>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9424988" y="1540668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10739438" y="1540668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12034838" y="1540668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8313520" y="16416337"/>
            <a:ext cx="1228725" cy="471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Value at risk (€)</a:t>
            </a:r>
          </a:p>
        </xdr:txBody>
      </xdr:sp>
      <xdr:sp macro="" textlink="">
        <xdr:nvSpPr>
          <xdr:cNvPr id="156" name="TextBox 155">
            <a:extLst>
              <a:ext uri="{FF2B5EF4-FFF2-40B4-BE49-F238E27FC236}">
                <a16:creationId xmlns:a16="http://schemas.microsoft.com/office/drawing/2014/main" id="{00000000-0008-0000-0200-00009C000000}"/>
              </a:ext>
            </a:extLst>
          </xdr:cNvPr>
          <xdr:cNvSpPr txBox="1"/>
        </xdr:nvSpPr>
        <xdr:spPr>
          <a:xfrm>
            <a:off x="9591676" y="1628774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Probability of risk occurrence (%)</a:t>
            </a:r>
          </a:p>
        </xdr:txBody>
      </xdr:sp>
      <xdr:sp macro="" textlink="">
        <xdr:nvSpPr>
          <xdr:cNvPr id="157" name="TextBox 156">
            <a:extLst>
              <a:ext uri="{FF2B5EF4-FFF2-40B4-BE49-F238E27FC236}">
                <a16:creationId xmlns:a16="http://schemas.microsoft.com/office/drawing/2014/main" id="{00000000-0008-0000-0200-00009D000000}"/>
              </a:ext>
            </a:extLst>
          </xdr:cNvPr>
          <xdr:cNvSpPr txBox="1"/>
        </xdr:nvSpPr>
        <xdr:spPr>
          <a:xfrm>
            <a:off x="10839450" y="16287749"/>
            <a:ext cx="124777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Risk reduction through use case (%)</a:t>
            </a:r>
          </a:p>
        </xdr:txBody>
      </xdr:sp>
      <xdr:sp macro="" textlink="">
        <xdr:nvSpPr>
          <xdr:cNvPr id="158" name="TextBox 157">
            <a:extLst>
              <a:ext uri="{FF2B5EF4-FFF2-40B4-BE49-F238E27FC236}">
                <a16:creationId xmlns:a16="http://schemas.microsoft.com/office/drawing/2014/main" id="{00000000-0008-0000-0200-00009E000000}"/>
              </a:ext>
            </a:extLst>
          </xdr:cNvPr>
          <xdr:cNvSpPr txBox="1"/>
        </xdr:nvSpPr>
        <xdr:spPr>
          <a:xfrm>
            <a:off x="12115801" y="16287749"/>
            <a:ext cx="1514474"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a:t>
            </a:r>
            <a:r>
              <a:rPr lang="en-US" sz="1100">
                <a:solidFill>
                  <a:srgbClr val="FF0000"/>
                </a:solidFill>
                <a:latin typeface="+mj-lt"/>
                <a:cs typeface="Calibri Light" panose="020F0302020204030204" pitchFamily="34" charset="0"/>
              </a:rPr>
              <a:t> </a:t>
            </a:r>
            <a:r>
              <a:rPr lang="en-US" sz="1100">
                <a:solidFill>
                  <a:schemeClr val="bg1">
                    <a:lumMod val="50000"/>
                  </a:schemeClr>
                </a:solidFill>
                <a:latin typeface="+mj-lt"/>
                <a:cs typeface="Calibri Light" panose="020F0302020204030204" pitchFamily="34" charset="0"/>
              </a:rPr>
              <a:t>additional areas where risk is apparent)</a:t>
            </a:r>
          </a:p>
        </xdr:txBody>
      </xdr:sp>
      <xdr:sp macro="" textlink="">
        <xdr:nvSpPr>
          <xdr:cNvPr id="159" name="TextBox 158">
            <a:extLst>
              <a:ext uri="{FF2B5EF4-FFF2-40B4-BE49-F238E27FC236}">
                <a16:creationId xmlns:a16="http://schemas.microsoft.com/office/drawing/2014/main" id="{00000000-0008-0000-0200-00009F000000}"/>
              </a:ext>
            </a:extLst>
          </xdr:cNvPr>
          <xdr:cNvSpPr txBox="1"/>
        </xdr:nvSpPr>
        <xdr:spPr>
          <a:xfrm>
            <a:off x="9424988" y="165020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60" name="TextBox 159">
            <a:extLst>
              <a:ext uri="{FF2B5EF4-FFF2-40B4-BE49-F238E27FC236}">
                <a16:creationId xmlns:a16="http://schemas.microsoft.com/office/drawing/2014/main" id="{00000000-0008-0000-0200-0000A0000000}"/>
              </a:ext>
            </a:extLst>
          </xdr:cNvPr>
          <xdr:cNvSpPr txBox="1"/>
        </xdr:nvSpPr>
        <xdr:spPr>
          <a:xfrm>
            <a:off x="10739438" y="165020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61" name="TextBox 160">
            <a:extLst>
              <a:ext uri="{FF2B5EF4-FFF2-40B4-BE49-F238E27FC236}">
                <a16:creationId xmlns:a16="http://schemas.microsoft.com/office/drawing/2014/main" id="{00000000-0008-0000-0200-0000A1000000}"/>
              </a:ext>
            </a:extLst>
          </xdr:cNvPr>
          <xdr:cNvSpPr txBox="1"/>
        </xdr:nvSpPr>
        <xdr:spPr>
          <a:xfrm>
            <a:off x="12034838" y="165020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grpSp>
    <xdr:clientData/>
  </xdr:twoCellAnchor>
  <xdr:twoCellAnchor>
    <xdr:from>
      <xdr:col>9</xdr:col>
      <xdr:colOff>390525</xdr:colOff>
      <xdr:row>69</xdr:row>
      <xdr:rowOff>152399</xdr:rowOff>
    </xdr:from>
    <xdr:to>
      <xdr:col>17</xdr:col>
      <xdr:colOff>390525</xdr:colOff>
      <xdr:row>73</xdr:row>
      <xdr:rowOff>819150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8757444" y="28036837"/>
          <a:ext cx="8643937" cy="5131594"/>
          <a:chOff x="8343900" y="18459449"/>
          <a:chExt cx="5219700" cy="4886326"/>
        </a:xfrm>
      </xdr:grpSpPr>
      <xdr:sp macro="" textlink="">
        <xdr:nvSpPr>
          <xdr:cNvPr id="162" name="TextBox 161">
            <a:extLst>
              <a:ext uri="{FF2B5EF4-FFF2-40B4-BE49-F238E27FC236}">
                <a16:creationId xmlns:a16="http://schemas.microsoft.com/office/drawing/2014/main" id="{00000000-0008-0000-0200-0000A2000000}"/>
              </a:ext>
            </a:extLst>
          </xdr:cNvPr>
          <xdr:cNvSpPr txBox="1"/>
        </xdr:nvSpPr>
        <xdr:spPr>
          <a:xfrm>
            <a:off x="8343900" y="18673762"/>
            <a:ext cx="12287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Current profit (€)</a:t>
            </a:r>
          </a:p>
        </xdr:txBody>
      </xdr:sp>
      <xdr:sp macro="" textlink="">
        <xdr:nvSpPr>
          <xdr:cNvPr id="163" name="TextBox 162">
            <a:extLst>
              <a:ext uri="{FF2B5EF4-FFF2-40B4-BE49-F238E27FC236}">
                <a16:creationId xmlns:a16="http://schemas.microsoft.com/office/drawing/2014/main" id="{00000000-0008-0000-0200-0000A3000000}"/>
              </a:ext>
            </a:extLst>
          </xdr:cNvPr>
          <xdr:cNvSpPr txBox="1"/>
        </xdr:nvSpPr>
        <xdr:spPr>
          <a:xfrm>
            <a:off x="9591676" y="1845944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Profit per product / service sold (€)</a:t>
            </a:r>
          </a:p>
        </xdr:txBody>
      </xdr:sp>
      <xdr:sp macro="" textlink="">
        <xdr:nvSpPr>
          <xdr:cNvPr id="164" name="TextBox 163">
            <a:extLst>
              <a:ext uri="{FF2B5EF4-FFF2-40B4-BE49-F238E27FC236}">
                <a16:creationId xmlns:a16="http://schemas.microsoft.com/office/drawing/2014/main" id="{00000000-0008-0000-0200-0000A4000000}"/>
              </a:ext>
            </a:extLst>
          </xdr:cNvPr>
          <xdr:cNvSpPr txBox="1"/>
        </xdr:nvSpPr>
        <xdr:spPr>
          <a:xfrm>
            <a:off x="10910887" y="18459449"/>
            <a:ext cx="1104900"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Servicable obtainable market</a:t>
            </a:r>
          </a:p>
        </xdr:txBody>
      </xdr:sp>
      <xdr:sp macro="" textlink="">
        <xdr:nvSpPr>
          <xdr:cNvPr id="165" name="TextBox 164">
            <a:extLst>
              <a:ext uri="{FF2B5EF4-FFF2-40B4-BE49-F238E27FC236}">
                <a16:creationId xmlns:a16="http://schemas.microsoft.com/office/drawing/2014/main" id="{00000000-0008-0000-0200-0000A5000000}"/>
              </a:ext>
            </a:extLst>
          </xdr:cNvPr>
          <xdr:cNvSpPr txBox="1"/>
        </xdr:nvSpPr>
        <xdr:spPr>
          <a:xfrm>
            <a:off x="12182475" y="1845944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countries, etc.)</a:t>
            </a:r>
          </a:p>
        </xdr:txBody>
      </xdr:sp>
      <xdr:sp macro="" textlink="">
        <xdr:nvSpPr>
          <xdr:cNvPr id="166" name="TextBox 165">
            <a:extLst>
              <a:ext uri="{FF2B5EF4-FFF2-40B4-BE49-F238E27FC236}">
                <a16:creationId xmlns:a16="http://schemas.microsoft.com/office/drawing/2014/main" id="{00000000-0008-0000-0200-0000A6000000}"/>
              </a:ext>
            </a:extLst>
          </xdr:cNvPr>
          <xdr:cNvSpPr txBox="1"/>
        </xdr:nvSpPr>
        <xdr:spPr>
          <a:xfrm>
            <a:off x="9424988" y="186737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a:t>
            </a:r>
          </a:p>
        </xdr:txBody>
      </xdr:sp>
      <xdr:sp macro="" textlink="">
        <xdr:nvSpPr>
          <xdr:cNvPr id="167" name="TextBox 166">
            <a:extLst>
              <a:ext uri="{FF2B5EF4-FFF2-40B4-BE49-F238E27FC236}">
                <a16:creationId xmlns:a16="http://schemas.microsoft.com/office/drawing/2014/main" id="{00000000-0008-0000-0200-0000A7000000}"/>
              </a:ext>
            </a:extLst>
          </xdr:cNvPr>
          <xdr:cNvSpPr txBox="1"/>
        </xdr:nvSpPr>
        <xdr:spPr>
          <a:xfrm>
            <a:off x="10739438" y="186737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68" name="TextBox 167">
            <a:extLst>
              <a:ext uri="{FF2B5EF4-FFF2-40B4-BE49-F238E27FC236}">
                <a16:creationId xmlns:a16="http://schemas.microsoft.com/office/drawing/2014/main" id="{00000000-0008-0000-0200-0000A8000000}"/>
              </a:ext>
            </a:extLst>
          </xdr:cNvPr>
          <xdr:cNvSpPr txBox="1"/>
        </xdr:nvSpPr>
        <xdr:spPr>
          <a:xfrm>
            <a:off x="12034838" y="186737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69" name="TextBox 168">
            <a:extLst>
              <a:ext uri="{FF2B5EF4-FFF2-40B4-BE49-F238E27FC236}">
                <a16:creationId xmlns:a16="http://schemas.microsoft.com/office/drawing/2014/main" id="{00000000-0008-0000-0200-0000A9000000}"/>
              </a:ext>
            </a:extLst>
          </xdr:cNvPr>
          <xdr:cNvSpPr txBox="1"/>
        </xdr:nvSpPr>
        <xdr:spPr>
          <a:xfrm>
            <a:off x="8343900" y="19759612"/>
            <a:ext cx="12287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Current profit (€)</a:t>
            </a:r>
          </a:p>
        </xdr:txBody>
      </xdr:sp>
      <xdr:sp macro="" textlink="">
        <xdr:nvSpPr>
          <xdr:cNvPr id="170" name="TextBox 169">
            <a:extLst>
              <a:ext uri="{FF2B5EF4-FFF2-40B4-BE49-F238E27FC236}">
                <a16:creationId xmlns:a16="http://schemas.microsoft.com/office/drawing/2014/main" id="{00000000-0008-0000-0200-0000AA000000}"/>
              </a:ext>
            </a:extLst>
          </xdr:cNvPr>
          <xdr:cNvSpPr txBox="1"/>
        </xdr:nvSpPr>
        <xdr:spPr>
          <a:xfrm>
            <a:off x="9591676" y="1954529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Profit per product / service sold (€)</a:t>
            </a:r>
          </a:p>
        </xdr:txBody>
      </xdr:sp>
      <xdr:sp macro="" textlink="">
        <xdr:nvSpPr>
          <xdr:cNvPr id="171" name="TextBox 170">
            <a:extLst>
              <a:ext uri="{FF2B5EF4-FFF2-40B4-BE49-F238E27FC236}">
                <a16:creationId xmlns:a16="http://schemas.microsoft.com/office/drawing/2014/main" id="{00000000-0008-0000-0200-0000AB000000}"/>
              </a:ext>
            </a:extLst>
          </xdr:cNvPr>
          <xdr:cNvSpPr txBox="1"/>
        </xdr:nvSpPr>
        <xdr:spPr>
          <a:xfrm>
            <a:off x="10910887" y="19545299"/>
            <a:ext cx="1104900"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Servicable obtainable market</a:t>
            </a:r>
          </a:p>
        </xdr:txBody>
      </xdr:sp>
      <xdr:sp macro="" textlink="">
        <xdr:nvSpPr>
          <xdr:cNvPr id="172" name="TextBox 171">
            <a:extLst>
              <a:ext uri="{FF2B5EF4-FFF2-40B4-BE49-F238E27FC236}">
                <a16:creationId xmlns:a16="http://schemas.microsoft.com/office/drawing/2014/main" id="{00000000-0008-0000-0200-0000AC000000}"/>
              </a:ext>
            </a:extLst>
          </xdr:cNvPr>
          <xdr:cNvSpPr txBox="1"/>
        </xdr:nvSpPr>
        <xdr:spPr>
          <a:xfrm>
            <a:off x="12182475" y="1954529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countries, etc.)</a:t>
            </a:r>
          </a:p>
        </xdr:txBody>
      </xdr:sp>
      <xdr:sp macro="" textlink="">
        <xdr:nvSpPr>
          <xdr:cNvPr id="173" name="TextBox 172">
            <a:extLst>
              <a:ext uri="{FF2B5EF4-FFF2-40B4-BE49-F238E27FC236}">
                <a16:creationId xmlns:a16="http://schemas.microsoft.com/office/drawing/2014/main" id="{00000000-0008-0000-0200-0000AD000000}"/>
              </a:ext>
            </a:extLst>
          </xdr:cNvPr>
          <xdr:cNvSpPr txBox="1"/>
        </xdr:nvSpPr>
        <xdr:spPr>
          <a:xfrm>
            <a:off x="9424988" y="19759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a:t>
            </a:r>
          </a:p>
        </xdr:txBody>
      </xdr:sp>
      <xdr:sp macro="" textlink="">
        <xdr:nvSpPr>
          <xdr:cNvPr id="174" name="TextBox 173">
            <a:extLst>
              <a:ext uri="{FF2B5EF4-FFF2-40B4-BE49-F238E27FC236}">
                <a16:creationId xmlns:a16="http://schemas.microsoft.com/office/drawing/2014/main" id="{00000000-0008-0000-0200-0000AE000000}"/>
              </a:ext>
            </a:extLst>
          </xdr:cNvPr>
          <xdr:cNvSpPr txBox="1"/>
        </xdr:nvSpPr>
        <xdr:spPr>
          <a:xfrm>
            <a:off x="10739438" y="19759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75" name="TextBox 174">
            <a:extLst>
              <a:ext uri="{FF2B5EF4-FFF2-40B4-BE49-F238E27FC236}">
                <a16:creationId xmlns:a16="http://schemas.microsoft.com/office/drawing/2014/main" id="{00000000-0008-0000-0200-0000AF000000}"/>
              </a:ext>
            </a:extLst>
          </xdr:cNvPr>
          <xdr:cNvSpPr txBox="1"/>
        </xdr:nvSpPr>
        <xdr:spPr>
          <a:xfrm>
            <a:off x="12034838" y="19759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76" name="TextBox 175">
            <a:extLst>
              <a:ext uri="{FF2B5EF4-FFF2-40B4-BE49-F238E27FC236}">
                <a16:creationId xmlns:a16="http://schemas.microsoft.com/office/drawing/2014/main" id="{00000000-0008-0000-0200-0000B0000000}"/>
              </a:ext>
            </a:extLst>
          </xdr:cNvPr>
          <xdr:cNvSpPr txBox="1"/>
        </xdr:nvSpPr>
        <xdr:spPr>
          <a:xfrm>
            <a:off x="8343900" y="20664486"/>
            <a:ext cx="1228725" cy="500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Current volume (units)</a:t>
            </a:r>
          </a:p>
        </xdr:txBody>
      </xdr:sp>
      <xdr:sp macro="" textlink="">
        <xdr:nvSpPr>
          <xdr:cNvPr id="177" name="TextBox 176">
            <a:extLst>
              <a:ext uri="{FF2B5EF4-FFF2-40B4-BE49-F238E27FC236}">
                <a16:creationId xmlns:a16="http://schemas.microsoft.com/office/drawing/2014/main" id="{00000000-0008-0000-0200-0000B1000000}"/>
              </a:ext>
            </a:extLst>
          </xdr:cNvPr>
          <xdr:cNvSpPr txBox="1"/>
        </xdr:nvSpPr>
        <xdr:spPr>
          <a:xfrm>
            <a:off x="9591676" y="2055494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Margin before use case / unit (€)</a:t>
            </a:r>
          </a:p>
        </xdr:txBody>
      </xdr:sp>
      <xdr:sp macro="" textlink="">
        <xdr:nvSpPr>
          <xdr:cNvPr id="178" name="TextBox 177">
            <a:extLst>
              <a:ext uri="{FF2B5EF4-FFF2-40B4-BE49-F238E27FC236}">
                <a16:creationId xmlns:a16="http://schemas.microsoft.com/office/drawing/2014/main" id="{00000000-0008-0000-0200-0000B2000000}"/>
              </a:ext>
            </a:extLst>
          </xdr:cNvPr>
          <xdr:cNvSpPr txBox="1"/>
        </xdr:nvSpPr>
        <xdr:spPr>
          <a:xfrm>
            <a:off x="10839450" y="20554949"/>
            <a:ext cx="124777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Margin increase achieved through improvement (%)</a:t>
            </a:r>
          </a:p>
        </xdr:txBody>
      </xdr:sp>
      <xdr:sp macro="" textlink="">
        <xdr:nvSpPr>
          <xdr:cNvPr id="179" name="TextBox 178">
            <a:extLst>
              <a:ext uri="{FF2B5EF4-FFF2-40B4-BE49-F238E27FC236}">
                <a16:creationId xmlns:a16="http://schemas.microsoft.com/office/drawing/2014/main" id="{00000000-0008-0000-0200-0000B3000000}"/>
              </a:ext>
            </a:extLst>
          </xdr:cNvPr>
          <xdr:cNvSpPr txBox="1"/>
        </xdr:nvSpPr>
        <xdr:spPr>
          <a:xfrm>
            <a:off x="12182475" y="2055494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countries, etc.)</a:t>
            </a:r>
          </a:p>
        </xdr:txBody>
      </xdr:sp>
      <xdr:sp macro="" textlink="">
        <xdr:nvSpPr>
          <xdr:cNvPr id="180" name="TextBox 179">
            <a:extLst>
              <a:ext uri="{FF2B5EF4-FFF2-40B4-BE49-F238E27FC236}">
                <a16:creationId xmlns:a16="http://schemas.microsoft.com/office/drawing/2014/main" id="{00000000-0008-0000-0200-0000B4000000}"/>
              </a:ext>
            </a:extLst>
          </xdr:cNvPr>
          <xdr:cNvSpPr txBox="1"/>
        </xdr:nvSpPr>
        <xdr:spPr>
          <a:xfrm>
            <a:off x="9424988" y="207692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81" name="TextBox 180">
            <a:extLst>
              <a:ext uri="{FF2B5EF4-FFF2-40B4-BE49-F238E27FC236}">
                <a16:creationId xmlns:a16="http://schemas.microsoft.com/office/drawing/2014/main" id="{00000000-0008-0000-0200-0000B5000000}"/>
              </a:ext>
            </a:extLst>
          </xdr:cNvPr>
          <xdr:cNvSpPr txBox="1"/>
        </xdr:nvSpPr>
        <xdr:spPr>
          <a:xfrm>
            <a:off x="10739438" y="207692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82" name="TextBox 181">
            <a:extLst>
              <a:ext uri="{FF2B5EF4-FFF2-40B4-BE49-F238E27FC236}">
                <a16:creationId xmlns:a16="http://schemas.microsoft.com/office/drawing/2014/main" id="{00000000-0008-0000-0200-0000B6000000}"/>
              </a:ext>
            </a:extLst>
          </xdr:cNvPr>
          <xdr:cNvSpPr txBox="1"/>
        </xdr:nvSpPr>
        <xdr:spPr>
          <a:xfrm>
            <a:off x="12034838" y="207692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83" name="TextBox 182">
            <a:extLst>
              <a:ext uri="{FF2B5EF4-FFF2-40B4-BE49-F238E27FC236}">
                <a16:creationId xmlns:a16="http://schemas.microsoft.com/office/drawing/2014/main" id="{00000000-0008-0000-0200-0000B7000000}"/>
              </a:ext>
            </a:extLst>
          </xdr:cNvPr>
          <xdr:cNvSpPr txBox="1"/>
        </xdr:nvSpPr>
        <xdr:spPr>
          <a:xfrm>
            <a:off x="8343900" y="21664612"/>
            <a:ext cx="1228725" cy="471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Current volume (units)</a:t>
            </a:r>
          </a:p>
        </xdr:txBody>
      </xdr:sp>
      <xdr:sp macro="" textlink="">
        <xdr:nvSpPr>
          <xdr:cNvPr id="184" name="TextBox 183">
            <a:extLst>
              <a:ext uri="{FF2B5EF4-FFF2-40B4-BE49-F238E27FC236}">
                <a16:creationId xmlns:a16="http://schemas.microsoft.com/office/drawing/2014/main" id="{00000000-0008-0000-0200-0000B8000000}"/>
              </a:ext>
            </a:extLst>
          </xdr:cNvPr>
          <xdr:cNvSpPr txBox="1"/>
        </xdr:nvSpPr>
        <xdr:spPr>
          <a:xfrm>
            <a:off x="9591676" y="21536024"/>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Margin before use case / unit (€)</a:t>
            </a:r>
          </a:p>
        </xdr:txBody>
      </xdr:sp>
      <xdr:sp macro="" textlink="">
        <xdr:nvSpPr>
          <xdr:cNvPr id="185" name="TextBox 184">
            <a:extLst>
              <a:ext uri="{FF2B5EF4-FFF2-40B4-BE49-F238E27FC236}">
                <a16:creationId xmlns:a16="http://schemas.microsoft.com/office/drawing/2014/main" id="{00000000-0008-0000-0200-0000B9000000}"/>
              </a:ext>
            </a:extLst>
          </xdr:cNvPr>
          <xdr:cNvSpPr txBox="1"/>
        </xdr:nvSpPr>
        <xdr:spPr>
          <a:xfrm>
            <a:off x="10839450" y="21536024"/>
            <a:ext cx="124777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Margin increase achieved through use</a:t>
            </a:r>
            <a:r>
              <a:rPr lang="en-US" sz="1100" baseline="0">
                <a:solidFill>
                  <a:schemeClr val="bg1">
                    <a:lumMod val="50000"/>
                  </a:schemeClr>
                </a:solidFill>
                <a:latin typeface="+mj-lt"/>
                <a:cs typeface="Calibri Light" panose="020F0302020204030204" pitchFamily="34" charset="0"/>
              </a:rPr>
              <a:t> case</a:t>
            </a:r>
            <a:r>
              <a:rPr lang="en-US" sz="1100">
                <a:solidFill>
                  <a:schemeClr val="bg1">
                    <a:lumMod val="50000"/>
                  </a:schemeClr>
                </a:solidFill>
                <a:latin typeface="+mj-lt"/>
                <a:cs typeface="Calibri Light" panose="020F0302020204030204" pitchFamily="34" charset="0"/>
              </a:rPr>
              <a:t> (%)</a:t>
            </a:r>
          </a:p>
        </xdr:txBody>
      </xdr:sp>
      <xdr:sp macro="" textlink="">
        <xdr:nvSpPr>
          <xdr:cNvPr id="186" name="TextBox 185">
            <a:extLst>
              <a:ext uri="{FF2B5EF4-FFF2-40B4-BE49-F238E27FC236}">
                <a16:creationId xmlns:a16="http://schemas.microsoft.com/office/drawing/2014/main" id="{00000000-0008-0000-0200-0000BA000000}"/>
              </a:ext>
            </a:extLst>
          </xdr:cNvPr>
          <xdr:cNvSpPr txBox="1"/>
        </xdr:nvSpPr>
        <xdr:spPr>
          <a:xfrm>
            <a:off x="12182475" y="21536024"/>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countries, etc.)</a:t>
            </a:r>
          </a:p>
        </xdr:txBody>
      </xdr:sp>
      <xdr:sp macro="" textlink="">
        <xdr:nvSpPr>
          <xdr:cNvPr id="187" name="TextBox 186">
            <a:extLst>
              <a:ext uri="{FF2B5EF4-FFF2-40B4-BE49-F238E27FC236}">
                <a16:creationId xmlns:a16="http://schemas.microsoft.com/office/drawing/2014/main" id="{00000000-0008-0000-0200-0000BB000000}"/>
              </a:ext>
            </a:extLst>
          </xdr:cNvPr>
          <xdr:cNvSpPr txBox="1"/>
        </xdr:nvSpPr>
        <xdr:spPr>
          <a:xfrm>
            <a:off x="9424988" y="2175033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88" name="TextBox 187">
            <a:extLst>
              <a:ext uri="{FF2B5EF4-FFF2-40B4-BE49-F238E27FC236}">
                <a16:creationId xmlns:a16="http://schemas.microsoft.com/office/drawing/2014/main" id="{00000000-0008-0000-0200-0000BC000000}"/>
              </a:ext>
            </a:extLst>
          </xdr:cNvPr>
          <xdr:cNvSpPr txBox="1"/>
        </xdr:nvSpPr>
        <xdr:spPr>
          <a:xfrm>
            <a:off x="10739438" y="2175033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89" name="TextBox 188">
            <a:extLst>
              <a:ext uri="{FF2B5EF4-FFF2-40B4-BE49-F238E27FC236}">
                <a16:creationId xmlns:a16="http://schemas.microsoft.com/office/drawing/2014/main" id="{00000000-0008-0000-0200-0000BD000000}"/>
              </a:ext>
            </a:extLst>
          </xdr:cNvPr>
          <xdr:cNvSpPr txBox="1"/>
        </xdr:nvSpPr>
        <xdr:spPr>
          <a:xfrm>
            <a:off x="12034838" y="2175033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90" name="TextBox 189">
            <a:extLst>
              <a:ext uri="{FF2B5EF4-FFF2-40B4-BE49-F238E27FC236}">
                <a16:creationId xmlns:a16="http://schemas.microsoft.com/office/drawing/2014/main" id="{00000000-0008-0000-0200-0000BE000000}"/>
              </a:ext>
            </a:extLst>
          </xdr:cNvPr>
          <xdr:cNvSpPr txBox="1"/>
        </xdr:nvSpPr>
        <xdr:spPr>
          <a:xfrm>
            <a:off x="8343900" y="22759987"/>
            <a:ext cx="1228725" cy="471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Current #</a:t>
            </a:r>
            <a:r>
              <a:rPr lang="en-US" sz="1100" baseline="0">
                <a:solidFill>
                  <a:schemeClr val="bg1">
                    <a:lumMod val="50000"/>
                  </a:schemeClr>
                </a:solidFill>
                <a:latin typeface="+mj-lt"/>
                <a:cs typeface="Calibri Light" panose="020F0302020204030204" pitchFamily="34" charset="0"/>
              </a:rPr>
              <a:t> </a:t>
            </a:r>
            <a:r>
              <a:rPr lang="en-US" sz="1100">
                <a:solidFill>
                  <a:schemeClr val="bg1">
                    <a:lumMod val="50000"/>
                  </a:schemeClr>
                </a:solidFill>
                <a:latin typeface="+mj-lt"/>
                <a:cs typeface="Calibri Light" panose="020F0302020204030204" pitchFamily="34" charset="0"/>
              </a:rPr>
              <a:t>of customers</a:t>
            </a:r>
          </a:p>
        </xdr:txBody>
      </xdr:sp>
      <xdr:sp macro="" textlink="">
        <xdr:nvSpPr>
          <xdr:cNvPr id="191" name="TextBox 190">
            <a:extLst>
              <a:ext uri="{FF2B5EF4-FFF2-40B4-BE49-F238E27FC236}">
                <a16:creationId xmlns:a16="http://schemas.microsoft.com/office/drawing/2014/main" id="{00000000-0008-0000-0200-0000BF000000}"/>
              </a:ext>
            </a:extLst>
          </xdr:cNvPr>
          <xdr:cNvSpPr txBox="1"/>
        </xdr:nvSpPr>
        <xdr:spPr>
          <a:xfrm>
            <a:off x="9591676" y="2263139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Average value</a:t>
            </a:r>
            <a:r>
              <a:rPr lang="en-US" sz="1100" baseline="0">
                <a:solidFill>
                  <a:schemeClr val="bg1">
                    <a:lumMod val="50000"/>
                  </a:schemeClr>
                </a:solidFill>
                <a:latin typeface="+mj-lt"/>
                <a:cs typeface="Calibri Light" panose="020F0302020204030204" pitchFamily="34" charset="0"/>
              </a:rPr>
              <a:t> of customer lost </a:t>
            </a:r>
            <a:r>
              <a:rPr lang="en-US" sz="1100">
                <a:solidFill>
                  <a:schemeClr val="bg1">
                    <a:lumMod val="50000"/>
                  </a:schemeClr>
                </a:solidFill>
                <a:latin typeface="+mj-lt"/>
                <a:cs typeface="Calibri Light" panose="020F0302020204030204" pitchFamily="34" charset="0"/>
              </a:rPr>
              <a:t>(€)</a:t>
            </a:r>
          </a:p>
        </xdr:txBody>
      </xdr:sp>
      <xdr:sp macro="" textlink="">
        <xdr:nvSpPr>
          <xdr:cNvPr id="192" name="TextBox 191">
            <a:extLst>
              <a:ext uri="{FF2B5EF4-FFF2-40B4-BE49-F238E27FC236}">
                <a16:creationId xmlns:a16="http://schemas.microsoft.com/office/drawing/2014/main" id="{00000000-0008-0000-0200-0000C0000000}"/>
              </a:ext>
            </a:extLst>
          </xdr:cNvPr>
          <xdr:cNvSpPr txBox="1"/>
        </xdr:nvSpPr>
        <xdr:spPr>
          <a:xfrm>
            <a:off x="10839450" y="22631399"/>
            <a:ext cx="124777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Increase in customer retention (%)</a:t>
            </a:r>
          </a:p>
        </xdr:txBody>
      </xdr:sp>
      <xdr:sp macro="" textlink="">
        <xdr:nvSpPr>
          <xdr:cNvPr id="193" name="TextBox 192">
            <a:extLst>
              <a:ext uri="{FF2B5EF4-FFF2-40B4-BE49-F238E27FC236}">
                <a16:creationId xmlns:a16="http://schemas.microsoft.com/office/drawing/2014/main" id="{00000000-0008-0000-0200-0000C1000000}"/>
              </a:ext>
            </a:extLst>
          </xdr:cNvPr>
          <xdr:cNvSpPr txBox="1"/>
        </xdr:nvSpPr>
        <xdr:spPr>
          <a:xfrm>
            <a:off x="12182475" y="2263139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countries, etc.)</a:t>
            </a:r>
          </a:p>
        </xdr:txBody>
      </xdr:sp>
      <xdr:sp macro="" textlink="">
        <xdr:nvSpPr>
          <xdr:cNvPr id="194" name="TextBox 193">
            <a:extLst>
              <a:ext uri="{FF2B5EF4-FFF2-40B4-BE49-F238E27FC236}">
                <a16:creationId xmlns:a16="http://schemas.microsoft.com/office/drawing/2014/main" id="{00000000-0008-0000-0200-0000C2000000}"/>
              </a:ext>
            </a:extLst>
          </xdr:cNvPr>
          <xdr:cNvSpPr txBox="1"/>
        </xdr:nvSpPr>
        <xdr:spPr>
          <a:xfrm>
            <a:off x="9424988" y="228457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95" name="TextBox 194">
            <a:extLst>
              <a:ext uri="{FF2B5EF4-FFF2-40B4-BE49-F238E27FC236}">
                <a16:creationId xmlns:a16="http://schemas.microsoft.com/office/drawing/2014/main" id="{00000000-0008-0000-0200-0000C3000000}"/>
              </a:ext>
            </a:extLst>
          </xdr:cNvPr>
          <xdr:cNvSpPr txBox="1"/>
        </xdr:nvSpPr>
        <xdr:spPr>
          <a:xfrm>
            <a:off x="10739438" y="228457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96" name="TextBox 195">
            <a:extLst>
              <a:ext uri="{FF2B5EF4-FFF2-40B4-BE49-F238E27FC236}">
                <a16:creationId xmlns:a16="http://schemas.microsoft.com/office/drawing/2014/main" id="{00000000-0008-0000-0200-0000C4000000}"/>
              </a:ext>
            </a:extLst>
          </xdr:cNvPr>
          <xdr:cNvSpPr txBox="1"/>
        </xdr:nvSpPr>
        <xdr:spPr>
          <a:xfrm>
            <a:off x="12034838" y="228457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grpSp>
    <xdr:clientData/>
  </xdr:twoCellAnchor>
  <xdr:twoCellAnchor>
    <xdr:from>
      <xdr:col>4</xdr:col>
      <xdr:colOff>273844</xdr:colOff>
      <xdr:row>25</xdr:row>
      <xdr:rowOff>142874</xdr:rowOff>
    </xdr:from>
    <xdr:to>
      <xdr:col>15</xdr:col>
      <xdr:colOff>438150</xdr:colOff>
      <xdr:row>26</xdr:row>
      <xdr:rowOff>18047</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3146425" y="7170737"/>
          <a:ext cx="11805444" cy="633998"/>
          <a:chOff x="797719" y="2809874"/>
          <a:chExt cx="9270206" cy="723901"/>
        </a:xfrm>
      </xdr:grpSpPr>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6775" y="2809874"/>
            <a:ext cx="9201150" cy="72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solidFill>
                  <a:srgbClr val="17948C"/>
                </a:solidFill>
                <a:latin typeface="+mj-lt"/>
                <a:cs typeface="Calibri Light" panose="020F0302020204030204" pitchFamily="34" charset="0"/>
              </a:rPr>
              <a:t>In many cases, a Machine Learning application will help to save costs in organizational operations. If the application is used to generate value internally (cost savings) for your organization, please fill in the INTERNAL</a:t>
            </a:r>
            <a:r>
              <a:rPr lang="en-US" sz="1200" i="1" baseline="0">
                <a:solidFill>
                  <a:srgbClr val="17948C"/>
                </a:solidFill>
                <a:latin typeface="+mj-lt"/>
                <a:cs typeface="Calibri Light" panose="020F0302020204030204" pitchFamily="34" charset="0"/>
              </a:rPr>
              <a:t> value generation below</a:t>
            </a:r>
            <a:r>
              <a:rPr lang="en-US" sz="1200" i="1">
                <a:solidFill>
                  <a:srgbClr val="17948C"/>
                </a:solidFill>
                <a:latin typeface="+mj-lt"/>
                <a:cs typeface="Calibri Light" panose="020F0302020204030204" pitchFamily="34" charset="0"/>
              </a:rPr>
              <a:t>.</a:t>
            </a:r>
          </a:p>
        </xdr:txBody>
      </xdr:sp>
      <xdr:cxnSp macro="">
        <xdr:nvCxnSpPr>
          <xdr:cNvPr id="121" name="Straight Connector 120">
            <a:extLst>
              <a:ext uri="{FF2B5EF4-FFF2-40B4-BE49-F238E27FC236}">
                <a16:creationId xmlns:a16="http://schemas.microsoft.com/office/drawing/2014/main" id="{00000000-0008-0000-0200-000079000000}"/>
              </a:ext>
            </a:extLst>
          </xdr:cNvPr>
          <xdr:cNvCxnSpPr/>
        </xdr:nvCxnSpPr>
        <xdr:spPr>
          <a:xfrm>
            <a:off x="797719" y="2838450"/>
            <a:ext cx="0" cy="415545"/>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38100</xdr:colOff>
      <xdr:row>41</xdr:row>
      <xdr:rowOff>203199</xdr:rowOff>
    </xdr:from>
    <xdr:to>
      <xdr:col>16</xdr:col>
      <xdr:colOff>0</xdr:colOff>
      <xdr:row>42</xdr:row>
      <xdr:rowOff>15875</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2907506" y="13570743"/>
          <a:ext cx="12249150" cy="577851"/>
          <a:chOff x="571500" y="5305424"/>
          <a:chExt cx="9886950" cy="923926"/>
        </a:xfrm>
      </xdr:grpSpPr>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866775" y="5305424"/>
            <a:ext cx="959167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solidFill>
                  <a:srgbClr val="17948C"/>
                </a:solidFill>
                <a:latin typeface="+mj-lt"/>
                <a:cs typeface="Calibri Light" panose="020F0302020204030204" pitchFamily="34" charset="0"/>
              </a:rPr>
              <a:t>If the Machine Learning application helps to create a new product or service that can be sold to customers or enables a new business model, please fill</a:t>
            </a:r>
            <a:r>
              <a:rPr lang="en-US" sz="1200" i="1" baseline="0">
                <a:solidFill>
                  <a:srgbClr val="17948C"/>
                </a:solidFill>
                <a:latin typeface="+mj-lt"/>
                <a:cs typeface="Calibri Light" panose="020F0302020204030204" pitchFamily="34" charset="0"/>
              </a:rPr>
              <a:t> in EXTERNAL value generation below</a:t>
            </a:r>
            <a:r>
              <a:rPr lang="en-US" sz="1200" i="1">
                <a:solidFill>
                  <a:srgbClr val="17948C"/>
                </a:solidFill>
                <a:latin typeface="+mj-lt"/>
                <a:cs typeface="Calibri Light" panose="020F0302020204030204" pitchFamily="34" charset="0"/>
              </a:rPr>
              <a:t>.</a:t>
            </a:r>
          </a:p>
        </xdr:txBody>
      </xdr:sp>
      <xdr:cxnSp macro="">
        <xdr:nvCxnSpPr>
          <xdr:cNvPr id="146" name="Straight Connector 145">
            <a:extLst>
              <a:ext uri="{FF2B5EF4-FFF2-40B4-BE49-F238E27FC236}">
                <a16:creationId xmlns:a16="http://schemas.microsoft.com/office/drawing/2014/main" id="{00000000-0008-0000-0200-000092000000}"/>
              </a:ext>
            </a:extLst>
          </xdr:cNvPr>
          <xdr:cNvCxnSpPr/>
        </xdr:nvCxnSpPr>
        <xdr:spPr>
          <a:xfrm>
            <a:off x="797719" y="5334000"/>
            <a:ext cx="0" cy="365760"/>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pic>
        <xdr:nvPicPr>
          <xdr:cNvPr id="154" name="Graphic 153" descr="Information">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71500" y="5438773"/>
            <a:ext cx="182880" cy="289802"/>
          </a:xfrm>
          <a:prstGeom prst="rect">
            <a:avLst/>
          </a:prstGeom>
        </xdr:spPr>
      </xdr:pic>
    </xdr:grpSp>
    <xdr:clientData/>
  </xdr:twoCellAnchor>
  <xdr:twoCellAnchor editAs="absolute">
    <xdr:from>
      <xdr:col>1</xdr:col>
      <xdr:colOff>28575</xdr:colOff>
      <xdr:row>0</xdr:row>
      <xdr:rowOff>123825</xdr:rowOff>
    </xdr:from>
    <xdr:to>
      <xdr:col>1</xdr:col>
      <xdr:colOff>552450</xdr:colOff>
      <xdr:row>1</xdr:row>
      <xdr:rowOff>38100</xdr:rowOff>
    </xdr:to>
    <xdr:pic>
      <xdr:nvPicPr>
        <xdr:cNvPr id="197" name="Graphic 196" descr="Home">
          <a:hlinkClick xmlns:r="http://schemas.openxmlformats.org/officeDocument/2006/relationships" r:id="rId10"/>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19100" y="123825"/>
          <a:ext cx="523875" cy="523875"/>
        </a:xfrm>
        <a:prstGeom prst="rect">
          <a:avLst/>
        </a:prstGeom>
      </xdr:spPr>
    </xdr:pic>
    <xdr:clientData/>
  </xdr:twoCellAnchor>
  <xdr:twoCellAnchor>
    <xdr:from>
      <xdr:col>12</xdr:col>
      <xdr:colOff>2552700</xdr:colOff>
      <xdr:row>5</xdr:row>
      <xdr:rowOff>142875</xdr:rowOff>
    </xdr:from>
    <xdr:to>
      <xdr:col>12</xdr:col>
      <xdr:colOff>3143250</xdr:colOff>
      <xdr:row>7</xdr:row>
      <xdr:rowOff>57150</xdr:rowOff>
    </xdr:to>
    <xdr:sp macro="" textlink="">
      <xdr:nvSpPr>
        <xdr:cNvPr id="199" name="TextBox 198">
          <a:extLst>
            <a:ext uri="{FF2B5EF4-FFF2-40B4-BE49-F238E27FC236}">
              <a16:creationId xmlns:a16="http://schemas.microsoft.com/office/drawing/2014/main" id="{00000000-0008-0000-0200-0000C7000000}"/>
            </a:ext>
          </a:extLst>
        </xdr:cNvPr>
        <xdr:cNvSpPr txBox="1"/>
      </xdr:nvSpPr>
      <xdr:spPr>
        <a:xfrm>
          <a:off x="11125200" y="1552575"/>
          <a:ext cx="5905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Calibri Light" panose="020F0302020204030204" pitchFamily="34" charset="0"/>
              <a:cs typeface="Calibri Light" panose="020F0302020204030204" pitchFamily="34" charset="0"/>
            </a:rPr>
            <a:t>Phase: </a:t>
          </a:r>
          <a:endParaRPr lang="en-US" sz="1200">
            <a:latin typeface="Calibri Light" panose="020F0302020204030204" pitchFamily="34" charset="0"/>
            <a:cs typeface="Calibri Light" panose="020F0302020204030204" pitchFamily="34" charset="0"/>
          </a:endParaRPr>
        </a:p>
      </xdr:txBody>
    </xdr:sp>
    <xdr:clientData/>
  </xdr:twoCellAnchor>
  <xdr:twoCellAnchor>
    <xdr:from>
      <xdr:col>4</xdr:col>
      <xdr:colOff>0</xdr:colOff>
      <xdr:row>25</xdr:row>
      <xdr:rowOff>314325</xdr:rowOff>
    </xdr:from>
    <xdr:to>
      <xdr:col>4</xdr:col>
      <xdr:colOff>182880</xdr:colOff>
      <xdr:row>25</xdr:row>
      <xdr:rowOff>497205</xdr:rowOff>
    </xdr:to>
    <xdr:pic>
      <xdr:nvPicPr>
        <xdr:cNvPr id="201" name="Graphic 200" descr="Information">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743200" y="10382250"/>
          <a:ext cx="182880" cy="182880"/>
        </a:xfrm>
        <a:prstGeom prst="rect">
          <a:avLst/>
        </a:prstGeom>
      </xdr:spPr>
    </xdr:pic>
    <xdr:clientData/>
  </xdr:twoCellAnchor>
  <xdr:twoCellAnchor>
    <xdr:from>
      <xdr:col>16</xdr:col>
      <xdr:colOff>1276350</xdr:colOff>
      <xdr:row>80</xdr:row>
      <xdr:rowOff>38100</xdr:rowOff>
    </xdr:from>
    <xdr:to>
      <xdr:col>17</xdr:col>
      <xdr:colOff>162687</xdr:colOff>
      <xdr:row>83</xdr:row>
      <xdr:rowOff>133350</xdr:rowOff>
    </xdr:to>
    <xdr:grpSp>
      <xdr:nvGrpSpPr>
        <xdr:cNvPr id="245" name="Group 244">
          <a:hlinkClick xmlns:r="http://schemas.openxmlformats.org/officeDocument/2006/relationships" r:id="rId13"/>
          <a:extLst>
            <a:ext uri="{FF2B5EF4-FFF2-40B4-BE49-F238E27FC236}">
              <a16:creationId xmlns:a16="http://schemas.microsoft.com/office/drawing/2014/main" id="{00000000-0008-0000-0200-0000F5000000}"/>
            </a:ext>
          </a:extLst>
        </xdr:cNvPr>
        <xdr:cNvGrpSpPr/>
      </xdr:nvGrpSpPr>
      <xdr:grpSpPr>
        <a:xfrm>
          <a:off x="16433006" y="35232975"/>
          <a:ext cx="740537" cy="666750"/>
          <a:chOff x="6610350" y="7724775"/>
          <a:chExt cx="819150" cy="819150"/>
        </a:xfrm>
      </xdr:grpSpPr>
      <xdr:sp macro="" textlink="">
        <xdr:nvSpPr>
          <xdr:cNvPr id="246" name="Oval 245">
            <a:extLst>
              <a:ext uri="{FF2B5EF4-FFF2-40B4-BE49-F238E27FC236}">
                <a16:creationId xmlns:a16="http://schemas.microsoft.com/office/drawing/2014/main" id="{00000000-0008-0000-0200-0000F600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47" name="Graphic 246" descr="Line arrow Straight">
            <a:extLst>
              <a:ext uri="{FF2B5EF4-FFF2-40B4-BE49-F238E27FC236}">
                <a16:creationId xmlns:a16="http://schemas.microsoft.com/office/drawing/2014/main" id="{00000000-0008-0000-0200-0000F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10800000">
            <a:off x="6781799" y="7924799"/>
            <a:ext cx="457200" cy="457200"/>
          </a:xfrm>
          <a:prstGeom prst="rect">
            <a:avLst/>
          </a:prstGeom>
        </xdr:spPr>
      </xdr:pic>
    </xdr:grpSp>
    <xdr:clientData/>
  </xdr:twoCellAnchor>
  <xdr:twoCellAnchor editAs="absolute">
    <xdr:from>
      <xdr:col>7</xdr:col>
      <xdr:colOff>589643</xdr:colOff>
      <xdr:row>3</xdr:row>
      <xdr:rowOff>121143</xdr:rowOff>
    </xdr:from>
    <xdr:to>
      <xdr:col>12</xdr:col>
      <xdr:colOff>753109</xdr:colOff>
      <xdr:row>3</xdr:row>
      <xdr:rowOff>122237</xdr:rowOff>
    </xdr:to>
    <xdr:cxnSp macro="">
      <xdr:nvCxnSpPr>
        <xdr:cNvPr id="305" name="Straight Connector 304">
          <a:extLst>
            <a:ext uri="{FF2B5EF4-FFF2-40B4-BE49-F238E27FC236}">
              <a16:creationId xmlns:a16="http://schemas.microsoft.com/office/drawing/2014/main" id="{00000000-0008-0000-0200-000031010000}"/>
            </a:ext>
          </a:extLst>
        </xdr:cNvPr>
        <xdr:cNvCxnSpPr>
          <a:cxnSpLocks/>
          <a:stCxn id="315" idx="2"/>
          <a:endCxn id="319" idx="6"/>
        </xdr:cNvCxnSpPr>
      </xdr:nvCxnSpPr>
      <xdr:spPr>
        <a:xfrm>
          <a:off x="6614206" y="1115712"/>
          <a:ext cx="4652122" cy="1094"/>
        </a:xfrm>
        <a:prstGeom prst="line">
          <a:avLst/>
        </a:prstGeom>
        <a:ln w="28575">
          <a:solidFill>
            <a:schemeClr val="bg1">
              <a:lumMod val="65000"/>
            </a:schemeClr>
          </a:solidFill>
        </a:ln>
      </xdr:spPr>
      <xdr:style>
        <a:lnRef idx="2">
          <a:schemeClr val="accent2"/>
        </a:lnRef>
        <a:fillRef idx="0">
          <a:schemeClr val="accent2"/>
        </a:fillRef>
        <a:effectRef idx="1">
          <a:schemeClr val="accent2"/>
        </a:effectRef>
        <a:fontRef idx="minor">
          <a:schemeClr val="tx1"/>
        </a:fontRef>
      </xdr:style>
    </xdr:cxnSp>
    <xdr:clientData/>
  </xdr:twoCellAnchor>
  <xdr:twoCellAnchor editAs="absolute">
    <xdr:from>
      <xdr:col>5</xdr:col>
      <xdr:colOff>380999</xdr:colOff>
      <xdr:row>1</xdr:row>
      <xdr:rowOff>190499</xdr:rowOff>
    </xdr:from>
    <xdr:to>
      <xdr:col>6</xdr:col>
      <xdr:colOff>780143</xdr:colOff>
      <xdr:row>6</xdr:row>
      <xdr:rowOff>164594</xdr:rowOff>
    </xdr:to>
    <xdr:grpSp>
      <xdr:nvGrpSpPr>
        <xdr:cNvPr id="306" name="Group 305">
          <a:hlinkClick xmlns:r="http://schemas.openxmlformats.org/officeDocument/2006/relationships" r:id="rId5"/>
          <a:extLst>
            <a:ext uri="{FF2B5EF4-FFF2-40B4-BE49-F238E27FC236}">
              <a16:creationId xmlns:a16="http://schemas.microsoft.com/office/drawing/2014/main" id="{00000000-0008-0000-0200-000032010000}"/>
            </a:ext>
          </a:extLst>
        </xdr:cNvPr>
        <xdr:cNvGrpSpPr/>
      </xdr:nvGrpSpPr>
      <xdr:grpSpPr>
        <a:xfrm>
          <a:off x="4655343" y="797718"/>
          <a:ext cx="1042081" cy="982951"/>
          <a:chOff x="3314700" y="857249"/>
          <a:chExt cx="954428" cy="926595"/>
        </a:xfrm>
      </xdr:grpSpPr>
      <xdr:sp macro="" textlink="">
        <xdr:nvSpPr>
          <xdr:cNvPr id="307" name="Oval 306">
            <a:extLst>
              <a:ext uri="{FF2B5EF4-FFF2-40B4-BE49-F238E27FC236}">
                <a16:creationId xmlns:a16="http://schemas.microsoft.com/office/drawing/2014/main" id="{00000000-0008-0000-0200-000033010000}"/>
              </a:ext>
            </a:extLst>
          </xdr:cNvPr>
          <xdr:cNvSpPr/>
        </xdr:nvSpPr>
        <xdr:spPr>
          <a:xfrm>
            <a:off x="34766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308" name="TextBox 307">
            <a:extLst>
              <a:ext uri="{FF2B5EF4-FFF2-40B4-BE49-F238E27FC236}">
                <a16:creationId xmlns:a16="http://schemas.microsoft.com/office/drawing/2014/main" id="{00000000-0008-0000-0200-000034010000}"/>
              </a:ext>
            </a:extLst>
          </xdr:cNvPr>
          <xdr:cNvSpPr txBox="1"/>
        </xdr:nvSpPr>
        <xdr:spPr>
          <a:xfrm>
            <a:off x="3314700" y="1514475"/>
            <a:ext cx="954428"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Description</a:t>
            </a:r>
          </a:p>
        </xdr:txBody>
      </xdr:sp>
      <xdr:pic>
        <xdr:nvPicPr>
          <xdr:cNvPr id="309" name="Graphic 308" descr="Document">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590926" y="962026"/>
            <a:ext cx="416774" cy="416774"/>
          </a:xfrm>
          <a:prstGeom prst="rect">
            <a:avLst/>
          </a:prstGeom>
        </xdr:spPr>
      </xdr:pic>
    </xdr:grpSp>
    <xdr:clientData/>
  </xdr:twoCellAnchor>
  <xdr:twoCellAnchor editAs="absolute">
    <xdr:from>
      <xdr:col>10</xdr:col>
      <xdr:colOff>30259</xdr:colOff>
      <xdr:row>1</xdr:row>
      <xdr:rowOff>190499</xdr:rowOff>
    </xdr:from>
    <xdr:to>
      <xdr:col>10</xdr:col>
      <xdr:colOff>678259</xdr:colOff>
      <xdr:row>6</xdr:row>
      <xdr:rowOff>164594</xdr:rowOff>
    </xdr:to>
    <xdr:grpSp>
      <xdr:nvGrpSpPr>
        <xdr:cNvPr id="310" name="Group 309">
          <a:hlinkClick xmlns:r="http://schemas.openxmlformats.org/officeDocument/2006/relationships" r:id="rId13"/>
          <a:extLst>
            <a:ext uri="{FF2B5EF4-FFF2-40B4-BE49-F238E27FC236}">
              <a16:creationId xmlns:a16="http://schemas.microsoft.com/office/drawing/2014/main" id="{00000000-0008-0000-0200-000036010000}"/>
            </a:ext>
          </a:extLst>
        </xdr:cNvPr>
        <xdr:cNvGrpSpPr/>
      </xdr:nvGrpSpPr>
      <xdr:grpSpPr>
        <a:xfrm>
          <a:off x="9040115" y="797718"/>
          <a:ext cx="648000" cy="982951"/>
          <a:chOff x="6686549" y="857249"/>
          <a:chExt cx="638175" cy="926595"/>
        </a:xfrm>
      </xdr:grpSpPr>
      <xdr:sp macro="" textlink="">
        <xdr:nvSpPr>
          <xdr:cNvPr id="311" name="Oval 310">
            <a:extLst>
              <a:ext uri="{FF2B5EF4-FFF2-40B4-BE49-F238E27FC236}">
                <a16:creationId xmlns:a16="http://schemas.microsoft.com/office/drawing/2014/main" id="{00000000-0008-0000-0200-000037010000}"/>
              </a:ext>
            </a:extLst>
          </xdr:cNvPr>
          <xdr:cNvSpPr/>
        </xdr:nvSpPr>
        <xdr:spPr>
          <a:xfrm>
            <a:off x="6686549"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312" name="TextBox 311">
            <a:extLst>
              <a:ext uri="{FF2B5EF4-FFF2-40B4-BE49-F238E27FC236}">
                <a16:creationId xmlns:a16="http://schemas.microsoft.com/office/drawing/2014/main" id="{00000000-0008-0000-0200-000038010000}"/>
              </a:ext>
            </a:extLst>
          </xdr:cNvPr>
          <xdr:cNvSpPr txBox="1"/>
        </xdr:nvSpPr>
        <xdr:spPr>
          <a:xfrm>
            <a:off x="6724650" y="1514475"/>
            <a:ext cx="578043"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Costs</a:t>
            </a:r>
          </a:p>
        </xdr:txBody>
      </xdr:sp>
      <xdr:pic>
        <xdr:nvPicPr>
          <xdr:cNvPr id="313" name="Graphic 312" descr="Money">
            <a:extLst>
              <a:ext uri="{FF2B5EF4-FFF2-40B4-BE49-F238E27FC236}">
                <a16:creationId xmlns:a16="http://schemas.microsoft.com/office/drawing/2014/main" id="{00000000-0008-0000-0200-00003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6798451" y="950101"/>
            <a:ext cx="416774" cy="416774"/>
          </a:xfrm>
          <a:prstGeom prst="rect">
            <a:avLst/>
          </a:prstGeom>
        </xdr:spPr>
      </xdr:pic>
    </xdr:grpSp>
    <xdr:clientData/>
  </xdr:twoCellAnchor>
  <xdr:twoCellAnchor editAs="absolute">
    <xdr:from>
      <xdr:col>7</xdr:col>
      <xdr:colOff>589643</xdr:colOff>
      <xdr:row>1</xdr:row>
      <xdr:rowOff>190499</xdr:rowOff>
    </xdr:from>
    <xdr:to>
      <xdr:col>8</xdr:col>
      <xdr:colOff>666425</xdr:colOff>
      <xdr:row>6</xdr:row>
      <xdr:rowOff>161419</xdr:rowOff>
    </xdr:to>
    <xdr:grpSp>
      <xdr:nvGrpSpPr>
        <xdr:cNvPr id="314" name="Group 313">
          <a:extLst>
            <a:ext uri="{FF2B5EF4-FFF2-40B4-BE49-F238E27FC236}">
              <a16:creationId xmlns:a16="http://schemas.microsoft.com/office/drawing/2014/main" id="{00000000-0008-0000-0200-00003A010000}"/>
            </a:ext>
          </a:extLst>
        </xdr:cNvPr>
        <xdr:cNvGrpSpPr/>
      </xdr:nvGrpSpPr>
      <xdr:grpSpPr>
        <a:xfrm>
          <a:off x="6911862" y="797718"/>
          <a:ext cx="719719" cy="986126"/>
          <a:chOff x="5153024" y="857249"/>
          <a:chExt cx="638175" cy="926595"/>
        </a:xfrm>
      </xdr:grpSpPr>
      <xdr:sp macro="" textlink="">
        <xdr:nvSpPr>
          <xdr:cNvPr id="315" name="Oval 314">
            <a:extLst>
              <a:ext uri="{FF2B5EF4-FFF2-40B4-BE49-F238E27FC236}">
                <a16:creationId xmlns:a16="http://schemas.microsoft.com/office/drawing/2014/main" id="{00000000-0008-0000-0200-00003B010000}"/>
              </a:ext>
            </a:extLst>
          </xdr:cNvPr>
          <xdr:cNvSpPr/>
        </xdr:nvSpPr>
        <xdr:spPr>
          <a:xfrm>
            <a:off x="51530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316" name="TextBox 315">
            <a:extLst>
              <a:ext uri="{FF2B5EF4-FFF2-40B4-BE49-F238E27FC236}">
                <a16:creationId xmlns:a16="http://schemas.microsoft.com/office/drawing/2014/main" id="{00000000-0008-0000-0200-00003C010000}"/>
              </a:ext>
            </a:extLst>
          </xdr:cNvPr>
          <xdr:cNvSpPr txBox="1"/>
        </xdr:nvSpPr>
        <xdr:spPr>
          <a:xfrm>
            <a:off x="5181600" y="1514475"/>
            <a:ext cx="5783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Value</a:t>
            </a:r>
          </a:p>
        </xdr:txBody>
      </xdr:sp>
      <xdr:pic>
        <xdr:nvPicPr>
          <xdr:cNvPr id="317" name="Graphic 316" descr="Diamond">
            <a:extLst>
              <a:ext uri="{FF2B5EF4-FFF2-40B4-BE49-F238E27FC236}">
                <a16:creationId xmlns:a16="http://schemas.microsoft.com/office/drawing/2014/main" id="{00000000-0008-0000-0200-00003D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272051" y="995326"/>
            <a:ext cx="416774" cy="416774"/>
          </a:xfrm>
          <a:prstGeom prst="rect">
            <a:avLst/>
          </a:prstGeom>
        </xdr:spPr>
      </xdr:pic>
    </xdr:grpSp>
    <xdr:clientData/>
  </xdr:twoCellAnchor>
  <xdr:twoCellAnchor editAs="absolute">
    <xdr:from>
      <xdr:col>11</xdr:col>
      <xdr:colOff>581023</xdr:colOff>
      <xdr:row>1</xdr:row>
      <xdr:rowOff>190499</xdr:rowOff>
    </xdr:from>
    <xdr:to>
      <xdr:col>12</xdr:col>
      <xdr:colOff>837804</xdr:colOff>
      <xdr:row>6</xdr:row>
      <xdr:rowOff>164594</xdr:rowOff>
    </xdr:to>
    <xdr:grpSp>
      <xdr:nvGrpSpPr>
        <xdr:cNvPr id="318" name="Group 317">
          <a:hlinkClick xmlns:r="http://schemas.openxmlformats.org/officeDocument/2006/relationships" r:id="rId20"/>
          <a:extLst>
            <a:ext uri="{FF2B5EF4-FFF2-40B4-BE49-F238E27FC236}">
              <a16:creationId xmlns:a16="http://schemas.microsoft.com/office/drawing/2014/main" id="{00000000-0008-0000-0200-00003E010000}"/>
            </a:ext>
          </a:extLst>
        </xdr:cNvPr>
        <xdr:cNvGrpSpPr/>
      </xdr:nvGrpSpPr>
      <xdr:grpSpPr>
        <a:xfrm>
          <a:off x="11002167" y="797718"/>
          <a:ext cx="896543" cy="982951"/>
          <a:chOff x="8172450" y="857249"/>
          <a:chExt cx="792012" cy="926595"/>
        </a:xfrm>
      </xdr:grpSpPr>
      <xdr:sp macro="" textlink="">
        <xdr:nvSpPr>
          <xdr:cNvPr id="319" name="Oval 318">
            <a:extLst>
              <a:ext uri="{FF2B5EF4-FFF2-40B4-BE49-F238E27FC236}">
                <a16:creationId xmlns:a16="http://schemas.microsoft.com/office/drawing/2014/main" id="{00000000-0008-0000-0200-00003F010000}"/>
              </a:ext>
            </a:extLst>
          </xdr:cNvPr>
          <xdr:cNvSpPr/>
        </xdr:nvSpPr>
        <xdr:spPr>
          <a:xfrm>
            <a:off x="8248649"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320" name="TextBox 319">
            <a:extLst>
              <a:ext uri="{FF2B5EF4-FFF2-40B4-BE49-F238E27FC236}">
                <a16:creationId xmlns:a16="http://schemas.microsoft.com/office/drawing/2014/main" id="{00000000-0008-0000-0200-000040010000}"/>
              </a:ext>
            </a:extLst>
          </xdr:cNvPr>
          <xdr:cNvSpPr txBox="1"/>
        </xdr:nvSpPr>
        <xdr:spPr>
          <a:xfrm>
            <a:off x="8172450" y="1514475"/>
            <a:ext cx="79201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Contacts</a:t>
            </a:r>
          </a:p>
        </xdr:txBody>
      </xdr:sp>
      <xdr:pic>
        <xdr:nvPicPr>
          <xdr:cNvPr id="321" name="Graphic 320" descr="Target Audience">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8365276" y="973876"/>
            <a:ext cx="416774" cy="416774"/>
          </a:xfrm>
          <a:prstGeom prst="rect">
            <a:avLst/>
          </a:prstGeom>
        </xdr:spPr>
      </xdr:pic>
    </xdr:grpSp>
    <xdr:clientData/>
  </xdr:twoCellAnchor>
  <xdr:twoCellAnchor editAs="absolute">
    <xdr:from>
      <xdr:col>8</xdr:col>
      <xdr:colOff>268279</xdr:colOff>
      <xdr:row>0</xdr:row>
      <xdr:rowOff>583196</xdr:rowOff>
    </xdr:from>
    <xdr:to>
      <xdr:col>8</xdr:col>
      <xdr:colOff>444809</xdr:colOff>
      <xdr:row>1</xdr:row>
      <xdr:rowOff>150822</xdr:rowOff>
    </xdr:to>
    <xdr:pic>
      <xdr:nvPicPr>
        <xdr:cNvPr id="322" name="Graphic 321" descr="Play">
          <a:extLst>
            <a:ext uri="{FF2B5EF4-FFF2-40B4-BE49-F238E27FC236}">
              <a16:creationId xmlns:a16="http://schemas.microsoft.com/office/drawing/2014/main" id="{00000000-0008-0000-0200-00004201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5400000">
          <a:off x="6897331" y="577194"/>
          <a:ext cx="183576" cy="182880"/>
        </a:xfrm>
        <a:prstGeom prst="rect">
          <a:avLst/>
        </a:prstGeom>
      </xdr:spPr>
    </xdr:pic>
    <xdr:clientData/>
  </xdr:twoCellAnchor>
  <xdr:twoCellAnchor editAs="absolute">
    <xdr:from>
      <xdr:col>16</xdr:col>
      <xdr:colOff>1371599</xdr:colOff>
      <xdr:row>0</xdr:row>
      <xdr:rowOff>371475</xdr:rowOff>
    </xdr:from>
    <xdr:to>
      <xdr:col>18</xdr:col>
      <xdr:colOff>0</xdr:colOff>
      <xdr:row>1</xdr:row>
      <xdr:rowOff>49465</xdr:rowOff>
    </xdr:to>
    <xdr:grpSp>
      <xdr:nvGrpSpPr>
        <xdr:cNvPr id="323" name="Group 322">
          <a:hlinkClick xmlns:r="http://schemas.openxmlformats.org/officeDocument/2006/relationships" r:id="rId25"/>
          <a:extLst>
            <a:ext uri="{FF2B5EF4-FFF2-40B4-BE49-F238E27FC236}">
              <a16:creationId xmlns:a16="http://schemas.microsoft.com/office/drawing/2014/main" id="{00000000-0008-0000-0200-000043010000}"/>
            </a:ext>
          </a:extLst>
        </xdr:cNvPr>
        <xdr:cNvGrpSpPr/>
      </xdr:nvGrpSpPr>
      <xdr:grpSpPr>
        <a:xfrm>
          <a:off x="16528255" y="368300"/>
          <a:ext cx="1128714" cy="285209"/>
          <a:chOff x="12792075" y="371475"/>
          <a:chExt cx="1019176" cy="281240"/>
        </a:xfrm>
      </xdr:grpSpPr>
      <xdr:pic>
        <xdr:nvPicPr>
          <xdr:cNvPr id="324" name="Graphic 323" descr="Link">
            <a:extLst>
              <a:ext uri="{FF2B5EF4-FFF2-40B4-BE49-F238E27FC236}">
                <a16:creationId xmlns:a16="http://schemas.microsoft.com/office/drawing/2014/main" id="{00000000-0008-0000-0200-00004401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2792075" y="419100"/>
            <a:ext cx="182880" cy="182880"/>
          </a:xfrm>
          <a:prstGeom prst="rect">
            <a:avLst/>
          </a:prstGeom>
        </xdr:spPr>
      </xdr:pic>
      <xdr:sp macro="" textlink="">
        <xdr:nvSpPr>
          <xdr:cNvPr id="325" name="TextBox 324">
            <a:extLst>
              <a:ext uri="{FF2B5EF4-FFF2-40B4-BE49-F238E27FC236}">
                <a16:creationId xmlns:a16="http://schemas.microsoft.com/office/drawing/2014/main" id="{00000000-0008-0000-0200-00004501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absolute">
    <xdr:from>
      <xdr:col>4</xdr:col>
      <xdr:colOff>28575</xdr:colOff>
      <xdr:row>0</xdr:row>
      <xdr:rowOff>333375</xdr:rowOff>
    </xdr:from>
    <xdr:to>
      <xdr:col>4</xdr:col>
      <xdr:colOff>752475</xdr:colOff>
      <xdr:row>1</xdr:row>
      <xdr:rowOff>38100</xdr:rowOff>
    </xdr:to>
    <xdr:sp macro="" textlink="">
      <xdr:nvSpPr>
        <xdr:cNvPr id="326" name="TextBox 325">
          <a:extLst>
            <a:ext uri="{FF2B5EF4-FFF2-40B4-BE49-F238E27FC236}">
              <a16:creationId xmlns:a16="http://schemas.microsoft.com/office/drawing/2014/main" id="{00000000-0008-0000-0200-000046010000}"/>
            </a:ext>
          </a:extLst>
        </xdr:cNvPr>
        <xdr:cNvSpPr txBox="1"/>
      </xdr:nvSpPr>
      <xdr:spPr>
        <a:xfrm>
          <a:off x="2771775" y="333375"/>
          <a:ext cx="723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4</xdr:col>
      <xdr:colOff>561974</xdr:colOff>
      <xdr:row>0</xdr:row>
      <xdr:rowOff>333375</xdr:rowOff>
    </xdr:from>
    <xdr:to>
      <xdr:col>6</xdr:col>
      <xdr:colOff>1247775</xdr:colOff>
      <xdr:row>1</xdr:row>
      <xdr:rowOff>38100</xdr:rowOff>
    </xdr:to>
    <xdr:sp macro="" textlink="'1-Description'!E31">
      <xdr:nvSpPr>
        <xdr:cNvPr id="327" name="TextBox 326">
          <a:extLst>
            <a:ext uri="{FF2B5EF4-FFF2-40B4-BE49-F238E27FC236}">
              <a16:creationId xmlns:a16="http://schemas.microsoft.com/office/drawing/2014/main" id="{00000000-0008-0000-0200-000047010000}"/>
            </a:ext>
          </a:extLst>
        </xdr:cNvPr>
        <xdr:cNvSpPr txBox="1"/>
      </xdr:nvSpPr>
      <xdr:spPr>
        <a:xfrm>
          <a:off x="3305174" y="333375"/>
          <a:ext cx="2628901"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Post-MVP/Pre-depl. assessment</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twoCellAnchor editAs="absolute">
    <xdr:from>
      <xdr:col>16</xdr:col>
      <xdr:colOff>1295399</xdr:colOff>
      <xdr:row>2</xdr:row>
      <xdr:rowOff>9525</xdr:rowOff>
    </xdr:from>
    <xdr:to>
      <xdr:col>17</xdr:col>
      <xdr:colOff>543418</xdr:colOff>
      <xdr:row>6</xdr:row>
      <xdr:rowOff>174120</xdr:rowOff>
    </xdr:to>
    <xdr:grpSp>
      <xdr:nvGrpSpPr>
        <xdr:cNvPr id="328" name="Group 327">
          <a:hlinkClick xmlns:r="http://schemas.openxmlformats.org/officeDocument/2006/relationships" r:id="rId28"/>
          <a:extLst>
            <a:ext uri="{FF2B5EF4-FFF2-40B4-BE49-F238E27FC236}">
              <a16:creationId xmlns:a16="http://schemas.microsoft.com/office/drawing/2014/main" id="{00000000-0008-0000-0200-000048010000}"/>
            </a:ext>
          </a:extLst>
        </xdr:cNvPr>
        <xdr:cNvGrpSpPr/>
      </xdr:nvGrpSpPr>
      <xdr:grpSpPr>
        <a:xfrm>
          <a:off x="16452055" y="815975"/>
          <a:ext cx="1102219" cy="977395"/>
          <a:chOff x="7753549" y="790575"/>
          <a:chExt cx="1022844" cy="926595"/>
        </a:xfrm>
      </xdr:grpSpPr>
      <xdr:grpSp>
        <xdr:nvGrpSpPr>
          <xdr:cNvPr id="329" name="Group 328">
            <a:extLst>
              <a:ext uri="{FF2B5EF4-FFF2-40B4-BE49-F238E27FC236}">
                <a16:creationId xmlns:a16="http://schemas.microsoft.com/office/drawing/2014/main" id="{00000000-0008-0000-0200-000049010000}"/>
              </a:ext>
            </a:extLst>
          </xdr:cNvPr>
          <xdr:cNvGrpSpPr/>
        </xdr:nvGrpSpPr>
        <xdr:grpSpPr>
          <a:xfrm>
            <a:off x="7753549" y="790575"/>
            <a:ext cx="1022844" cy="926595"/>
            <a:chOff x="5000625" y="857249"/>
            <a:chExt cx="1022844" cy="926595"/>
          </a:xfrm>
        </xdr:grpSpPr>
        <xdr:sp macro="" textlink="">
          <xdr:nvSpPr>
            <xdr:cNvPr id="331" name="Oval 330">
              <a:extLst>
                <a:ext uri="{FF2B5EF4-FFF2-40B4-BE49-F238E27FC236}">
                  <a16:creationId xmlns:a16="http://schemas.microsoft.com/office/drawing/2014/main" id="{00000000-0008-0000-0200-00004B01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332" name="TextBox 331">
              <a:extLst>
                <a:ext uri="{FF2B5EF4-FFF2-40B4-BE49-F238E27FC236}">
                  <a16:creationId xmlns:a16="http://schemas.microsoft.com/office/drawing/2014/main" id="{00000000-0008-0000-0200-00004C010000}"/>
                </a:ext>
              </a:extLst>
            </xdr:cNvPr>
            <xdr:cNvSpPr txBox="1"/>
          </xdr:nvSpPr>
          <xdr:spPr>
            <a:xfrm>
              <a:off x="5000625"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330" name="Graphic 329" descr="Bar chart">
            <a:extLst>
              <a:ext uri="{FF2B5EF4-FFF2-40B4-BE49-F238E27FC236}">
                <a16:creationId xmlns:a16="http://schemas.microsoft.com/office/drawing/2014/main" id="{00000000-0008-0000-0200-00004A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8055750" y="912000"/>
            <a:ext cx="411480" cy="411480"/>
          </a:xfrm>
          <a:prstGeom prst="rect">
            <a:avLst/>
          </a:prstGeom>
        </xdr:spPr>
      </xdr:pic>
    </xdr:grpSp>
    <xdr:clientData/>
  </xdr:twoCellAnchor>
  <xdr:twoCellAnchor editAs="absolute">
    <xdr:from>
      <xdr:col>6</xdr:col>
      <xdr:colOff>617416</xdr:colOff>
      <xdr:row>3</xdr:row>
      <xdr:rowOff>121143</xdr:rowOff>
    </xdr:from>
    <xdr:to>
      <xdr:col>7</xdr:col>
      <xdr:colOff>589643</xdr:colOff>
      <xdr:row>3</xdr:row>
      <xdr:rowOff>122237</xdr:rowOff>
    </xdr:to>
    <xdr:cxnSp macro="">
      <xdr:nvCxnSpPr>
        <xdr:cNvPr id="333" name="Straight Connector 332">
          <a:extLst>
            <a:ext uri="{FF2B5EF4-FFF2-40B4-BE49-F238E27FC236}">
              <a16:creationId xmlns:a16="http://schemas.microsoft.com/office/drawing/2014/main" id="{00000000-0008-0000-0200-00004D010000}"/>
            </a:ext>
          </a:extLst>
        </xdr:cNvPr>
        <xdr:cNvCxnSpPr>
          <a:cxnSpLocks/>
          <a:stCxn id="307" idx="6"/>
          <a:endCxn id="315" idx="2"/>
        </xdr:cNvCxnSpPr>
      </xdr:nvCxnSpPr>
      <xdr:spPr>
        <a:xfrm flipV="1">
          <a:off x="5308479" y="1115712"/>
          <a:ext cx="1305727" cy="1094"/>
        </a:xfrm>
        <a:prstGeom prst="line">
          <a:avLst/>
        </a:prstGeom>
        <a:ln w="28575">
          <a:solidFill>
            <a:srgbClr val="17948C"/>
          </a:solidFill>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207169</xdr:colOff>
      <xdr:row>75</xdr:row>
      <xdr:rowOff>142874</xdr:rowOff>
    </xdr:from>
    <xdr:to>
      <xdr:col>16</xdr:col>
      <xdr:colOff>1142999</xdr:colOff>
      <xdr:row>84</xdr:row>
      <xdr:rowOff>95249</xdr:rowOff>
    </xdr:to>
    <xdr:grpSp>
      <xdr:nvGrpSpPr>
        <xdr:cNvPr id="198" name="Group 197">
          <a:extLst>
            <a:ext uri="{FF2B5EF4-FFF2-40B4-BE49-F238E27FC236}">
              <a16:creationId xmlns:a16="http://schemas.microsoft.com/office/drawing/2014/main" id="{00000000-0008-0000-0200-0000C6000000}"/>
            </a:ext>
          </a:extLst>
        </xdr:cNvPr>
        <xdr:cNvGrpSpPr/>
      </xdr:nvGrpSpPr>
      <xdr:grpSpPr>
        <a:xfrm>
          <a:off x="3076575" y="34102674"/>
          <a:ext cx="13223080" cy="1961356"/>
          <a:chOff x="797719" y="2809874"/>
          <a:chExt cx="10651330" cy="2218403"/>
        </a:xfrm>
      </xdr:grpSpPr>
      <xdr:sp macro="" textlink="">
        <xdr:nvSpPr>
          <xdr:cNvPr id="200" name="TextBox 199">
            <a:extLst>
              <a:ext uri="{FF2B5EF4-FFF2-40B4-BE49-F238E27FC236}">
                <a16:creationId xmlns:a16="http://schemas.microsoft.com/office/drawing/2014/main" id="{00000000-0008-0000-0200-0000C8000000}"/>
              </a:ext>
            </a:extLst>
          </xdr:cNvPr>
          <xdr:cNvSpPr txBox="1"/>
        </xdr:nvSpPr>
        <xdr:spPr>
          <a:xfrm>
            <a:off x="866774" y="2809874"/>
            <a:ext cx="10582275" cy="221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solidFill>
                  <a:srgbClr val="17948C"/>
                </a:solidFill>
                <a:latin typeface="+mj-lt"/>
                <a:ea typeface="+mn-ea"/>
                <a:cs typeface="Calibri Light" panose="020F0302020204030204" pitchFamily="34" charset="0"/>
              </a:rPr>
              <a:t>Please remember that just as with humans, a data-based model's output is not always correct. Therefore, it is important to not only consider the costs saved through the application, but also think about the costs incurred through falsely predicted or classified events.</a:t>
            </a:r>
          </a:p>
          <a:p>
            <a:r>
              <a:rPr lang="en-US" sz="1200" i="1">
                <a:solidFill>
                  <a:srgbClr val="17948C"/>
                </a:solidFill>
                <a:latin typeface="+mj-lt"/>
                <a:ea typeface="+mn-ea"/>
                <a:cs typeface="Calibri Light" panose="020F0302020204030204" pitchFamily="34" charset="0"/>
              </a:rPr>
              <a:t>What happens if the application produces a false output? What business implications do false outputs have? How much does it cost to counteract? Does this differ depending on the performance of the algorithm? </a:t>
            </a:r>
          </a:p>
          <a:p>
            <a:r>
              <a:rPr lang="en-US" sz="1200" i="1">
                <a:solidFill>
                  <a:srgbClr val="17948C"/>
                </a:solidFill>
                <a:latin typeface="+mj-lt"/>
                <a:ea typeface="+mn-ea"/>
                <a:cs typeface="Calibri Light" panose="020F0302020204030204" pitchFamily="34" charset="0"/>
              </a:rPr>
              <a:t>False outputs can differ depending on the type of application. Typical false outputs are, e.g.: </a:t>
            </a:r>
          </a:p>
          <a:p>
            <a:pPr lvl="0"/>
            <a:r>
              <a:rPr lang="en-US" sz="1200" i="1">
                <a:solidFill>
                  <a:srgbClr val="17948C"/>
                </a:solidFill>
                <a:latin typeface="+mj-lt"/>
                <a:ea typeface="+mn-ea"/>
                <a:cs typeface="Calibri Light" panose="020F0302020204030204" pitchFamily="34" charset="0"/>
              </a:rPr>
              <a:t>• False classification or clustering, e.g., a valid document was falsely recognized to be fraudulent (false-negative) or a fraudulent document was falsely recognized to be valid (false-positive)</a:t>
            </a:r>
          </a:p>
          <a:p>
            <a:pPr lvl="0"/>
            <a:r>
              <a:rPr lang="en-US" sz="1200" i="1">
                <a:solidFill>
                  <a:srgbClr val="17948C"/>
                </a:solidFill>
                <a:latin typeface="+mj-lt"/>
                <a:ea typeface="+mn-ea"/>
                <a:cs typeface="Calibri Light" panose="020F0302020204030204" pitchFamily="34" charset="0"/>
              </a:rPr>
              <a:t>• Deviation of an actual value from a predicted value, e.g., material requirements were not predicted correctly, resulting in too much or too little available material</a:t>
            </a:r>
          </a:p>
          <a:p>
            <a:pPr lvl="0"/>
            <a:r>
              <a:rPr lang="en-US" sz="1200" i="1">
                <a:solidFill>
                  <a:srgbClr val="17948C"/>
                </a:solidFill>
                <a:latin typeface="+mj-lt"/>
                <a:ea typeface="+mn-ea"/>
                <a:cs typeface="Calibri Light" panose="020F0302020204030204" pitchFamily="34" charset="0"/>
              </a:rPr>
              <a:t>• False alarms in predictive maintenance cases result in unnecessary repair</a:t>
            </a:r>
            <a:r>
              <a:rPr lang="en-US" sz="1200" i="1" baseline="0">
                <a:solidFill>
                  <a:srgbClr val="17948C"/>
                </a:solidFill>
                <a:latin typeface="+mj-lt"/>
                <a:ea typeface="+mn-ea"/>
                <a:cs typeface="Calibri Light" panose="020F0302020204030204" pitchFamily="34" charset="0"/>
              </a:rPr>
              <a:t> or</a:t>
            </a:r>
            <a:r>
              <a:rPr lang="en-US" sz="1200" i="1">
                <a:solidFill>
                  <a:srgbClr val="17948C"/>
                </a:solidFill>
                <a:latin typeface="+mj-lt"/>
                <a:ea typeface="+mn-ea"/>
                <a:cs typeface="Calibri Light" panose="020F0302020204030204" pitchFamily="34" charset="0"/>
              </a:rPr>
              <a:t> maintenance work</a:t>
            </a:r>
          </a:p>
        </xdr:txBody>
      </xdr:sp>
      <xdr:cxnSp macro="">
        <xdr:nvCxnSpPr>
          <xdr:cNvPr id="202" name="Straight Connector 201">
            <a:extLst>
              <a:ext uri="{FF2B5EF4-FFF2-40B4-BE49-F238E27FC236}">
                <a16:creationId xmlns:a16="http://schemas.microsoft.com/office/drawing/2014/main" id="{00000000-0008-0000-0200-0000CA000000}"/>
              </a:ext>
            </a:extLst>
          </xdr:cNvPr>
          <xdr:cNvCxnSpPr/>
        </xdr:nvCxnSpPr>
        <xdr:spPr>
          <a:xfrm>
            <a:off x="797719" y="2838450"/>
            <a:ext cx="0" cy="1843541"/>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123825</xdr:colOff>
      <xdr:row>76</xdr:row>
      <xdr:rowOff>28576</xdr:rowOff>
    </xdr:from>
    <xdr:to>
      <xdr:col>4</xdr:col>
      <xdr:colOff>116205</xdr:colOff>
      <xdr:row>76</xdr:row>
      <xdr:rowOff>211456</xdr:rowOff>
    </xdr:to>
    <xdr:pic>
      <xdr:nvPicPr>
        <xdr:cNvPr id="203" name="Graphic 202" descr="Information">
          <a:extLst>
            <a:ext uri="{FF2B5EF4-FFF2-40B4-BE49-F238E27FC236}">
              <a16:creationId xmlns:a16="http://schemas.microsoft.com/office/drawing/2014/main" id="{00000000-0008-0000-0200-0000C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676525" y="32927926"/>
          <a:ext cx="182880" cy="182880"/>
        </a:xfrm>
        <a:prstGeom prst="rect">
          <a:avLst/>
        </a:prstGeom>
      </xdr:spPr>
    </xdr:pic>
    <xdr:clientData/>
  </xdr:twoCellAnchor>
  <xdr:twoCellAnchor>
    <xdr:from>
      <xdr:col>9</xdr:col>
      <xdr:colOff>154782</xdr:colOff>
      <xdr:row>20</xdr:row>
      <xdr:rowOff>119062</xdr:rowOff>
    </xdr:from>
    <xdr:to>
      <xdr:col>9</xdr:col>
      <xdr:colOff>337662</xdr:colOff>
      <xdr:row>20</xdr:row>
      <xdr:rowOff>304323</xdr:rowOff>
    </xdr:to>
    <xdr:pic>
      <xdr:nvPicPr>
        <xdr:cNvPr id="204" name="Graphic 53" descr="Information">
          <a:extLst>
            <a:ext uri="{FF2B5EF4-FFF2-40B4-BE49-F238E27FC236}">
              <a16:creationId xmlns:a16="http://schemas.microsoft.com/office/drawing/2014/main" id="{00000000-0008-0000-0200-0000C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120063" y="6262687"/>
          <a:ext cx="182880" cy="185261"/>
        </a:xfrm>
        <a:prstGeom prst="rect">
          <a:avLst/>
        </a:prstGeom>
      </xdr:spPr>
    </xdr:pic>
    <xdr:clientData/>
  </xdr:twoCellAnchor>
  <xdr:twoCellAnchor>
    <xdr:from>
      <xdr:col>9</xdr:col>
      <xdr:colOff>404813</xdr:colOff>
      <xdr:row>19</xdr:row>
      <xdr:rowOff>369093</xdr:rowOff>
    </xdr:from>
    <xdr:to>
      <xdr:col>9</xdr:col>
      <xdr:colOff>404813</xdr:colOff>
      <xdr:row>21</xdr:row>
      <xdr:rowOff>23812</xdr:rowOff>
    </xdr:to>
    <xdr:cxnSp macro="">
      <xdr:nvCxnSpPr>
        <xdr:cNvPr id="205" name="Straight Connector 52">
          <a:extLst>
            <a:ext uri="{FF2B5EF4-FFF2-40B4-BE49-F238E27FC236}">
              <a16:creationId xmlns:a16="http://schemas.microsoft.com/office/drawing/2014/main" id="{00000000-0008-0000-0200-0000CD000000}"/>
            </a:ext>
          </a:extLst>
        </xdr:cNvPr>
        <xdr:cNvCxnSpPr/>
      </xdr:nvCxnSpPr>
      <xdr:spPr>
        <a:xfrm>
          <a:off x="8370094" y="6131718"/>
          <a:ext cx="0" cy="416719"/>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535782</xdr:colOff>
      <xdr:row>20</xdr:row>
      <xdr:rowOff>83344</xdr:rowOff>
    </xdr:from>
    <xdr:to>
      <xdr:col>16</xdr:col>
      <xdr:colOff>1619251</xdr:colOff>
      <xdr:row>21</xdr:row>
      <xdr:rowOff>23812</xdr:rowOff>
    </xdr:to>
    <xdr:sp macro="" textlink="">
      <xdr:nvSpPr>
        <xdr:cNvPr id="206" name="TextBox 51">
          <a:extLst>
            <a:ext uri="{FF2B5EF4-FFF2-40B4-BE49-F238E27FC236}">
              <a16:creationId xmlns:a16="http://schemas.microsoft.com/office/drawing/2014/main" id="{00000000-0008-0000-0200-0000CE000000}"/>
            </a:ext>
          </a:extLst>
        </xdr:cNvPr>
        <xdr:cNvSpPr txBox="1"/>
      </xdr:nvSpPr>
      <xdr:spPr>
        <a:xfrm>
          <a:off x="8501063" y="6226969"/>
          <a:ext cx="7512844" cy="32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i="1">
              <a:solidFill>
                <a:srgbClr val="17948C"/>
              </a:solidFill>
            </a:rPr>
            <a:t>Option to account for yearly linear in-/decreases in combined value generation</a:t>
          </a:r>
          <a:endParaRPr lang="en-US" sz="1200" i="1">
            <a:solidFill>
              <a:srgbClr val="17948C"/>
            </a:solidFill>
            <a:latin typeface="+mj-lt"/>
            <a:cs typeface="Calibri Light" panose="020F0302020204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4065366</xdr:colOff>
      <xdr:row>3</xdr:row>
      <xdr:rowOff>122237</xdr:rowOff>
    </xdr:from>
    <xdr:to>
      <xdr:col>6</xdr:col>
      <xdr:colOff>153796</xdr:colOff>
      <xdr:row>3</xdr:row>
      <xdr:rowOff>122237</xdr:rowOff>
    </xdr:to>
    <xdr:cxnSp macro="">
      <xdr:nvCxnSpPr>
        <xdr:cNvPr id="156" name="Straight Connector 155">
          <a:extLst>
            <a:ext uri="{FF2B5EF4-FFF2-40B4-BE49-F238E27FC236}">
              <a16:creationId xmlns:a16="http://schemas.microsoft.com/office/drawing/2014/main" id="{00000000-0008-0000-0300-00009C000000}"/>
            </a:ext>
          </a:extLst>
        </xdr:cNvPr>
        <xdr:cNvCxnSpPr>
          <a:cxnSpLocks/>
          <a:stCxn id="124" idx="6"/>
          <a:endCxn id="130" idx="2"/>
        </xdr:cNvCxnSpPr>
      </xdr:nvCxnSpPr>
      <xdr:spPr>
        <a:xfrm>
          <a:off x="5327429" y="1116806"/>
          <a:ext cx="3255992" cy="0"/>
        </a:xfrm>
        <a:prstGeom prst="line">
          <a:avLst/>
        </a:prstGeom>
        <a:ln w="28575">
          <a:solidFill>
            <a:srgbClr val="17948C"/>
          </a:solidFill>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11</xdr:col>
      <xdr:colOff>606879</xdr:colOff>
      <xdr:row>6</xdr:row>
      <xdr:rowOff>195939</xdr:rowOff>
    </xdr:from>
    <xdr:to>
      <xdr:col>11</xdr:col>
      <xdr:colOff>606879</xdr:colOff>
      <xdr:row>123</xdr:row>
      <xdr:rowOff>169269</xdr:rowOff>
    </xdr:to>
    <xdr:cxnSp macro="">
      <xdr:nvCxnSpPr>
        <xdr:cNvPr id="5" name="Straight Connector 4">
          <a:extLst>
            <a:ext uri="{FF2B5EF4-FFF2-40B4-BE49-F238E27FC236}">
              <a16:creationId xmlns:a16="http://schemas.microsoft.com/office/drawing/2014/main" id="{00000000-0008-0000-0300-000005000000}"/>
            </a:ext>
          </a:extLst>
        </xdr:cNvPr>
        <xdr:cNvCxnSpPr/>
      </xdr:nvCxnSpPr>
      <xdr:spPr>
        <a:xfrm>
          <a:off x="13741854" y="1805664"/>
          <a:ext cx="0" cy="658368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606879</xdr:colOff>
      <xdr:row>1</xdr:row>
      <xdr:rowOff>8159</xdr:rowOff>
    </xdr:from>
    <xdr:to>
      <xdr:col>11</xdr:col>
      <xdr:colOff>606879</xdr:colOff>
      <xdr:row>6</xdr:row>
      <xdr:rowOff>189950</xdr:rowOff>
    </xdr:to>
    <xdr:cxnSp macro="">
      <xdr:nvCxnSpPr>
        <xdr:cNvPr id="6" name="Straight Connector 5">
          <a:extLst>
            <a:ext uri="{FF2B5EF4-FFF2-40B4-BE49-F238E27FC236}">
              <a16:creationId xmlns:a16="http://schemas.microsoft.com/office/drawing/2014/main" id="{00000000-0008-0000-0300-000006000000}"/>
            </a:ext>
          </a:extLst>
        </xdr:cNvPr>
        <xdr:cNvCxnSpPr/>
      </xdr:nvCxnSpPr>
      <xdr:spPr>
        <a:xfrm>
          <a:off x="1374185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123</xdr:row>
      <xdr:rowOff>180975</xdr:rowOff>
    </xdr:from>
    <xdr:to>
      <xdr:col>12</xdr:col>
      <xdr:colOff>45983</xdr:colOff>
      <xdr:row>123</xdr:row>
      <xdr:rowOff>180975</xdr:rowOff>
    </xdr:to>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a:off x="390525" y="8401050"/>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2</xdr:rowOff>
    </xdr:from>
    <xdr:to>
      <xdr:col>2</xdr:col>
      <xdr:colOff>952500</xdr:colOff>
      <xdr:row>9</xdr:row>
      <xdr:rowOff>314325</xdr:rowOff>
    </xdr:to>
    <xdr:sp macro="" textlink="">
      <xdr:nvSpPr>
        <xdr:cNvPr id="8" name="Right Triangle 7">
          <a:extLst>
            <a:ext uri="{FF2B5EF4-FFF2-40B4-BE49-F238E27FC236}">
              <a16:creationId xmlns:a16="http://schemas.microsoft.com/office/drawing/2014/main" id="{00000000-0008-0000-0300-000008000000}"/>
            </a:ext>
          </a:extLst>
        </xdr:cNvPr>
        <xdr:cNvSpPr/>
      </xdr:nvSpPr>
      <xdr:spPr>
        <a:xfrm rot="5400000">
          <a:off x="-247649" y="247651"/>
          <a:ext cx="27050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9" name="Right Triangle 8">
          <a:extLst>
            <a:ext uri="{FF2B5EF4-FFF2-40B4-BE49-F238E27FC236}">
              <a16:creationId xmlns:a16="http://schemas.microsoft.com/office/drawing/2014/main" id="{00000000-0008-0000-0300-000009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953</xdr:colOff>
      <xdr:row>1</xdr:row>
      <xdr:rowOff>8281</xdr:rowOff>
    </xdr:from>
    <xdr:to>
      <xdr:col>2</xdr:col>
      <xdr:colOff>1591716</xdr:colOff>
      <xdr:row>7</xdr:row>
      <xdr:rowOff>0</xdr:rowOff>
    </xdr:to>
    <xdr:sp macro="" textlink="">
      <xdr:nvSpPr>
        <xdr:cNvPr id="10" name="Rectangle 9">
          <a:extLst>
            <a:ext uri="{FF2B5EF4-FFF2-40B4-BE49-F238E27FC236}">
              <a16:creationId xmlns:a16="http://schemas.microsoft.com/office/drawing/2014/main" id="{00000000-0008-0000-0300-00000A000000}"/>
            </a:ext>
          </a:extLst>
        </xdr:cNvPr>
        <xdr:cNvSpPr/>
      </xdr:nvSpPr>
      <xdr:spPr>
        <a:xfrm>
          <a:off x="389280" y="617881"/>
          <a:ext cx="2459736" cy="1134719"/>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2</xdr:col>
      <xdr:colOff>1447801</xdr:colOff>
      <xdr:row>5</xdr:row>
      <xdr:rowOff>77618</xdr:rowOff>
    </xdr:to>
    <xdr:pic>
      <xdr:nvPicPr>
        <xdr:cNvPr id="11" name="Graphic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12" name="Graphic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122</xdr:row>
      <xdr:rowOff>0</xdr:rowOff>
    </xdr:from>
    <xdr:to>
      <xdr:col>5</xdr:col>
      <xdr:colOff>306705</xdr:colOff>
      <xdr:row>122</xdr:row>
      <xdr:rowOff>0</xdr:rowOff>
    </xdr:to>
    <xdr:grpSp>
      <xdr:nvGrpSpPr>
        <xdr:cNvPr id="13" name="Group 12">
          <a:extLst>
            <a:ext uri="{FF2B5EF4-FFF2-40B4-BE49-F238E27FC236}">
              <a16:creationId xmlns:a16="http://schemas.microsoft.com/office/drawing/2014/main" id="{00000000-0008-0000-0300-00000D000000}"/>
            </a:ext>
          </a:extLst>
        </xdr:cNvPr>
        <xdr:cNvGrpSpPr/>
      </xdr:nvGrpSpPr>
      <xdr:grpSpPr>
        <a:xfrm>
          <a:off x="8324056" y="39112031"/>
          <a:ext cx="186055" cy="0"/>
          <a:chOff x="7772400" y="13287375"/>
          <a:chExt cx="304800" cy="304800"/>
        </a:xfrm>
      </xdr:grpSpPr>
      <xdr:sp macro="" textlink="">
        <xdr:nvSpPr>
          <xdr:cNvPr id="14" name="Oval 13">
            <a:extLst>
              <a:ext uri="{FF2B5EF4-FFF2-40B4-BE49-F238E27FC236}">
                <a16:creationId xmlns:a16="http://schemas.microsoft.com/office/drawing/2014/main" id="{00000000-0008-0000-0300-00000E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Graphic 14" descr="Information">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xdr:from>
      <xdr:col>1</xdr:col>
      <xdr:colOff>379475</xdr:colOff>
      <xdr:row>120</xdr:row>
      <xdr:rowOff>104775</xdr:rowOff>
    </xdr:from>
    <xdr:to>
      <xdr:col>2</xdr:col>
      <xdr:colOff>161924</xdr:colOff>
      <xdr:row>122</xdr:row>
      <xdr:rowOff>171450</xdr:rowOff>
    </xdr:to>
    <xdr:grpSp>
      <xdr:nvGrpSpPr>
        <xdr:cNvPr id="16" name="Group 15">
          <a:hlinkClick xmlns:r="http://schemas.openxmlformats.org/officeDocument/2006/relationships" r:id="rId7"/>
          <a:extLst>
            <a:ext uri="{FF2B5EF4-FFF2-40B4-BE49-F238E27FC236}">
              <a16:creationId xmlns:a16="http://schemas.microsoft.com/office/drawing/2014/main" id="{00000000-0008-0000-0300-000010000000}"/>
            </a:ext>
          </a:extLst>
        </xdr:cNvPr>
        <xdr:cNvGrpSpPr/>
      </xdr:nvGrpSpPr>
      <xdr:grpSpPr>
        <a:xfrm rot="10800000">
          <a:off x="784288" y="38630225"/>
          <a:ext cx="690499" cy="653256"/>
          <a:chOff x="6610350" y="7724775"/>
          <a:chExt cx="819150" cy="819150"/>
        </a:xfrm>
      </xdr:grpSpPr>
      <xdr:sp macro="" textlink="">
        <xdr:nvSpPr>
          <xdr:cNvPr id="17" name="Oval 16">
            <a:extLst>
              <a:ext uri="{FF2B5EF4-FFF2-40B4-BE49-F238E27FC236}">
                <a16:creationId xmlns:a16="http://schemas.microsoft.com/office/drawing/2014/main" id="{00000000-0008-0000-0300-00001100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 name="Graphic 17" descr="Line arrow Straight">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0800000">
            <a:off x="6781799" y="7924799"/>
            <a:ext cx="457200" cy="4572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19" name="Right Triangle 18">
          <a:extLst>
            <a:ext uri="{FF2B5EF4-FFF2-40B4-BE49-F238E27FC236}">
              <a16:creationId xmlns:a16="http://schemas.microsoft.com/office/drawing/2014/main" id="{00000000-0008-0000-0300-000013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28575</xdr:colOff>
      <xdr:row>0</xdr:row>
      <xdr:rowOff>123825</xdr:rowOff>
    </xdr:from>
    <xdr:to>
      <xdr:col>1</xdr:col>
      <xdr:colOff>552450</xdr:colOff>
      <xdr:row>1</xdr:row>
      <xdr:rowOff>38100</xdr:rowOff>
    </xdr:to>
    <xdr:pic>
      <xdr:nvPicPr>
        <xdr:cNvPr id="144" name="Graphic 143" descr="Home">
          <a:hlinkClick xmlns:r="http://schemas.openxmlformats.org/officeDocument/2006/relationships" r:id="rId10"/>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19100" y="123825"/>
          <a:ext cx="523875" cy="523875"/>
        </a:xfrm>
        <a:prstGeom prst="rect">
          <a:avLst/>
        </a:prstGeom>
      </xdr:spPr>
    </xdr:pic>
    <xdr:clientData/>
  </xdr:twoCellAnchor>
  <xdr:twoCellAnchor>
    <xdr:from>
      <xdr:col>1</xdr:col>
      <xdr:colOff>1</xdr:colOff>
      <xdr:row>8</xdr:row>
      <xdr:rowOff>0</xdr:rowOff>
    </xdr:from>
    <xdr:to>
      <xdr:col>1</xdr:col>
      <xdr:colOff>419100</xdr:colOff>
      <xdr:row>9</xdr:row>
      <xdr:rowOff>247650</xdr:rowOff>
    </xdr:to>
    <xdr:sp macro="" textlink="">
      <xdr:nvSpPr>
        <xdr:cNvPr id="65" name="Right Triangle 64">
          <a:extLst>
            <a:ext uri="{FF2B5EF4-FFF2-40B4-BE49-F238E27FC236}">
              <a16:creationId xmlns:a16="http://schemas.microsoft.com/office/drawing/2014/main" id="{00000000-0008-0000-0300-000041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6</xdr:col>
      <xdr:colOff>801796</xdr:colOff>
      <xdr:row>3</xdr:row>
      <xdr:rowOff>122237</xdr:rowOff>
    </xdr:from>
    <xdr:to>
      <xdr:col>8</xdr:col>
      <xdr:colOff>532880</xdr:colOff>
      <xdr:row>3</xdr:row>
      <xdr:rowOff>122237</xdr:rowOff>
    </xdr:to>
    <xdr:cxnSp macro="">
      <xdr:nvCxnSpPr>
        <xdr:cNvPr id="119" name="Straight Connector 118">
          <a:extLst>
            <a:ext uri="{FF2B5EF4-FFF2-40B4-BE49-F238E27FC236}">
              <a16:creationId xmlns:a16="http://schemas.microsoft.com/office/drawing/2014/main" id="{00000000-0008-0000-0300-000077000000}"/>
            </a:ext>
          </a:extLst>
        </xdr:cNvPr>
        <xdr:cNvCxnSpPr>
          <a:cxnSpLocks/>
          <a:stCxn id="130" idx="6"/>
          <a:endCxn id="141" idx="6"/>
        </xdr:cNvCxnSpPr>
      </xdr:nvCxnSpPr>
      <xdr:spPr>
        <a:xfrm>
          <a:off x="9231421" y="1116806"/>
          <a:ext cx="2017084" cy="0"/>
        </a:xfrm>
        <a:prstGeom prst="line">
          <a:avLst/>
        </a:prstGeom>
        <a:ln w="28575">
          <a:solidFill>
            <a:schemeClr val="bg1">
              <a:lumMod val="65000"/>
            </a:schemeClr>
          </a:solidFill>
        </a:ln>
      </xdr:spPr>
      <xdr:style>
        <a:lnRef idx="2">
          <a:schemeClr val="accent2"/>
        </a:lnRef>
        <a:fillRef idx="0">
          <a:schemeClr val="accent2"/>
        </a:fillRef>
        <a:effectRef idx="1">
          <a:schemeClr val="accent2"/>
        </a:effectRef>
        <a:fontRef idx="minor">
          <a:schemeClr val="tx1"/>
        </a:fontRef>
      </xdr:style>
    </xdr:cxnSp>
    <xdr:clientData/>
  </xdr:twoCellAnchor>
  <xdr:twoCellAnchor editAs="absolute">
    <xdr:from>
      <xdr:col>2</xdr:col>
      <xdr:colOff>3220357</xdr:colOff>
      <xdr:row>1</xdr:row>
      <xdr:rowOff>190499</xdr:rowOff>
    </xdr:from>
    <xdr:to>
      <xdr:col>2</xdr:col>
      <xdr:colOff>4228357</xdr:colOff>
      <xdr:row>6</xdr:row>
      <xdr:rowOff>164594</xdr:rowOff>
    </xdr:to>
    <xdr:grpSp>
      <xdr:nvGrpSpPr>
        <xdr:cNvPr id="123" name="Group 122">
          <a:hlinkClick xmlns:r="http://schemas.openxmlformats.org/officeDocument/2006/relationships" r:id="rId13"/>
          <a:extLst>
            <a:ext uri="{FF2B5EF4-FFF2-40B4-BE49-F238E27FC236}">
              <a16:creationId xmlns:a16="http://schemas.microsoft.com/office/drawing/2014/main" id="{00000000-0008-0000-0300-00007B000000}"/>
            </a:ext>
          </a:extLst>
        </xdr:cNvPr>
        <xdr:cNvGrpSpPr/>
      </xdr:nvGrpSpPr>
      <xdr:grpSpPr>
        <a:xfrm>
          <a:off x="4530045" y="797718"/>
          <a:ext cx="1008000" cy="982951"/>
          <a:chOff x="3314700" y="857249"/>
          <a:chExt cx="954428" cy="926595"/>
        </a:xfrm>
      </xdr:grpSpPr>
      <xdr:sp macro="" textlink="">
        <xdr:nvSpPr>
          <xdr:cNvPr id="124" name="Oval 123">
            <a:extLst>
              <a:ext uri="{FF2B5EF4-FFF2-40B4-BE49-F238E27FC236}">
                <a16:creationId xmlns:a16="http://schemas.microsoft.com/office/drawing/2014/main" id="{00000000-0008-0000-0300-00007C000000}"/>
              </a:ext>
            </a:extLst>
          </xdr:cNvPr>
          <xdr:cNvSpPr/>
        </xdr:nvSpPr>
        <xdr:spPr>
          <a:xfrm>
            <a:off x="34766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26" name="TextBox 125">
            <a:extLst>
              <a:ext uri="{FF2B5EF4-FFF2-40B4-BE49-F238E27FC236}">
                <a16:creationId xmlns:a16="http://schemas.microsoft.com/office/drawing/2014/main" id="{00000000-0008-0000-0300-00007E000000}"/>
              </a:ext>
            </a:extLst>
          </xdr:cNvPr>
          <xdr:cNvSpPr txBox="1"/>
        </xdr:nvSpPr>
        <xdr:spPr>
          <a:xfrm>
            <a:off x="3314700" y="1514475"/>
            <a:ext cx="954428"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Description</a:t>
            </a:r>
          </a:p>
        </xdr:txBody>
      </xdr:sp>
      <xdr:pic>
        <xdr:nvPicPr>
          <xdr:cNvPr id="127" name="Graphic 126" descr="Document">
            <a:extLst>
              <a:ext uri="{FF2B5EF4-FFF2-40B4-BE49-F238E27FC236}">
                <a16:creationId xmlns:a16="http://schemas.microsoft.com/office/drawing/2014/main" id="{00000000-0008-0000-03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590926" y="962026"/>
            <a:ext cx="416774" cy="416774"/>
          </a:xfrm>
          <a:prstGeom prst="rect">
            <a:avLst/>
          </a:prstGeom>
        </xdr:spPr>
      </xdr:pic>
    </xdr:grpSp>
    <xdr:clientData/>
  </xdr:twoCellAnchor>
  <xdr:twoCellAnchor editAs="absolute">
    <xdr:from>
      <xdr:col>6</xdr:col>
      <xdr:colOff>153796</xdr:colOff>
      <xdr:row>1</xdr:row>
      <xdr:rowOff>190499</xdr:rowOff>
    </xdr:from>
    <xdr:to>
      <xdr:col>6</xdr:col>
      <xdr:colOff>801796</xdr:colOff>
      <xdr:row>6</xdr:row>
      <xdr:rowOff>164594</xdr:rowOff>
    </xdr:to>
    <xdr:grpSp>
      <xdr:nvGrpSpPr>
        <xdr:cNvPr id="128" name="Group 127">
          <a:extLst>
            <a:ext uri="{FF2B5EF4-FFF2-40B4-BE49-F238E27FC236}">
              <a16:creationId xmlns:a16="http://schemas.microsoft.com/office/drawing/2014/main" id="{00000000-0008-0000-0300-000080000000}"/>
            </a:ext>
          </a:extLst>
        </xdr:cNvPr>
        <xdr:cNvGrpSpPr/>
      </xdr:nvGrpSpPr>
      <xdr:grpSpPr>
        <a:xfrm>
          <a:off x="9000140" y="797718"/>
          <a:ext cx="648000" cy="982951"/>
          <a:chOff x="6686549" y="857249"/>
          <a:chExt cx="638175" cy="926595"/>
        </a:xfrm>
      </xdr:grpSpPr>
      <xdr:sp macro="" textlink="">
        <xdr:nvSpPr>
          <xdr:cNvPr id="130" name="Oval 129">
            <a:extLst>
              <a:ext uri="{FF2B5EF4-FFF2-40B4-BE49-F238E27FC236}">
                <a16:creationId xmlns:a16="http://schemas.microsoft.com/office/drawing/2014/main" id="{00000000-0008-0000-0300-000082000000}"/>
              </a:ext>
            </a:extLst>
          </xdr:cNvPr>
          <xdr:cNvSpPr/>
        </xdr:nvSpPr>
        <xdr:spPr>
          <a:xfrm>
            <a:off x="6686549"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34" name="TextBox 133">
            <a:extLst>
              <a:ext uri="{FF2B5EF4-FFF2-40B4-BE49-F238E27FC236}">
                <a16:creationId xmlns:a16="http://schemas.microsoft.com/office/drawing/2014/main" id="{00000000-0008-0000-0300-000086000000}"/>
              </a:ext>
            </a:extLst>
          </xdr:cNvPr>
          <xdr:cNvSpPr txBox="1"/>
        </xdr:nvSpPr>
        <xdr:spPr>
          <a:xfrm>
            <a:off x="6724650" y="1514475"/>
            <a:ext cx="578043"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Costs</a:t>
            </a:r>
          </a:p>
        </xdr:txBody>
      </xdr:sp>
      <xdr:pic>
        <xdr:nvPicPr>
          <xdr:cNvPr id="135" name="Graphic 134" descr="Money">
            <a:extLst>
              <a:ext uri="{FF2B5EF4-FFF2-40B4-BE49-F238E27FC236}">
                <a16:creationId xmlns:a16="http://schemas.microsoft.com/office/drawing/2014/main" id="{00000000-0008-0000-03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6798451" y="950101"/>
            <a:ext cx="416774" cy="416774"/>
          </a:xfrm>
          <a:prstGeom prst="rect">
            <a:avLst/>
          </a:prstGeom>
        </xdr:spPr>
      </xdr:pic>
    </xdr:grpSp>
    <xdr:clientData/>
  </xdr:twoCellAnchor>
  <xdr:twoCellAnchor editAs="absolute">
    <xdr:from>
      <xdr:col>4</xdr:col>
      <xdr:colOff>504732</xdr:colOff>
      <xdr:row>1</xdr:row>
      <xdr:rowOff>190499</xdr:rowOff>
    </xdr:from>
    <xdr:to>
      <xdr:col>4</xdr:col>
      <xdr:colOff>1188732</xdr:colOff>
      <xdr:row>6</xdr:row>
      <xdr:rowOff>164594</xdr:rowOff>
    </xdr:to>
    <xdr:grpSp>
      <xdr:nvGrpSpPr>
        <xdr:cNvPr id="136" name="Group 135">
          <a:hlinkClick xmlns:r="http://schemas.openxmlformats.org/officeDocument/2006/relationships" r:id="rId7"/>
          <a:extLst>
            <a:ext uri="{FF2B5EF4-FFF2-40B4-BE49-F238E27FC236}">
              <a16:creationId xmlns:a16="http://schemas.microsoft.com/office/drawing/2014/main" id="{00000000-0008-0000-0300-000088000000}"/>
            </a:ext>
          </a:extLst>
        </xdr:cNvPr>
        <xdr:cNvGrpSpPr/>
      </xdr:nvGrpSpPr>
      <xdr:grpSpPr>
        <a:xfrm>
          <a:off x="6949188" y="797718"/>
          <a:ext cx="684000" cy="982951"/>
          <a:chOff x="5153024" y="857249"/>
          <a:chExt cx="638175" cy="926595"/>
        </a:xfrm>
      </xdr:grpSpPr>
      <xdr:sp macro="" textlink="">
        <xdr:nvSpPr>
          <xdr:cNvPr id="137" name="Oval 136">
            <a:extLst>
              <a:ext uri="{FF2B5EF4-FFF2-40B4-BE49-F238E27FC236}">
                <a16:creationId xmlns:a16="http://schemas.microsoft.com/office/drawing/2014/main" id="{00000000-0008-0000-0300-000089000000}"/>
              </a:ext>
            </a:extLst>
          </xdr:cNvPr>
          <xdr:cNvSpPr/>
        </xdr:nvSpPr>
        <xdr:spPr>
          <a:xfrm>
            <a:off x="51530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38" name="TextBox 137">
            <a:extLst>
              <a:ext uri="{FF2B5EF4-FFF2-40B4-BE49-F238E27FC236}">
                <a16:creationId xmlns:a16="http://schemas.microsoft.com/office/drawing/2014/main" id="{00000000-0008-0000-0300-00008A000000}"/>
              </a:ext>
            </a:extLst>
          </xdr:cNvPr>
          <xdr:cNvSpPr txBox="1"/>
        </xdr:nvSpPr>
        <xdr:spPr>
          <a:xfrm>
            <a:off x="5181600" y="1514475"/>
            <a:ext cx="5783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Value</a:t>
            </a:r>
          </a:p>
        </xdr:txBody>
      </xdr:sp>
      <xdr:pic>
        <xdr:nvPicPr>
          <xdr:cNvPr id="139" name="Graphic 138" descr="Diamond">
            <a:extLst>
              <a:ext uri="{FF2B5EF4-FFF2-40B4-BE49-F238E27FC236}">
                <a16:creationId xmlns:a16="http://schemas.microsoft.com/office/drawing/2014/main" id="{00000000-0008-0000-0300-00008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272051" y="995326"/>
            <a:ext cx="416774" cy="416774"/>
          </a:xfrm>
          <a:prstGeom prst="rect">
            <a:avLst/>
          </a:prstGeom>
        </xdr:spPr>
      </xdr:pic>
    </xdr:grpSp>
    <xdr:clientData/>
  </xdr:twoCellAnchor>
  <xdr:twoCellAnchor editAs="absolute">
    <xdr:from>
      <xdr:col>7</xdr:col>
      <xdr:colOff>371185</xdr:colOff>
      <xdr:row>1</xdr:row>
      <xdr:rowOff>190499</xdr:rowOff>
    </xdr:from>
    <xdr:to>
      <xdr:col>8</xdr:col>
      <xdr:colOff>627966</xdr:colOff>
      <xdr:row>6</xdr:row>
      <xdr:rowOff>164594</xdr:rowOff>
    </xdr:to>
    <xdr:grpSp>
      <xdr:nvGrpSpPr>
        <xdr:cNvPr id="140" name="Group 139">
          <a:hlinkClick xmlns:r="http://schemas.openxmlformats.org/officeDocument/2006/relationships" r:id="rId20"/>
          <a:extLst>
            <a:ext uri="{FF2B5EF4-FFF2-40B4-BE49-F238E27FC236}">
              <a16:creationId xmlns:a16="http://schemas.microsoft.com/office/drawing/2014/main" id="{00000000-0008-0000-0300-00008C000000}"/>
            </a:ext>
          </a:extLst>
        </xdr:cNvPr>
        <xdr:cNvGrpSpPr/>
      </xdr:nvGrpSpPr>
      <xdr:grpSpPr>
        <a:xfrm>
          <a:off x="10982829" y="797718"/>
          <a:ext cx="896543" cy="982951"/>
          <a:chOff x="8181975" y="857249"/>
          <a:chExt cx="792012" cy="926595"/>
        </a:xfrm>
      </xdr:grpSpPr>
      <xdr:sp macro="" textlink="">
        <xdr:nvSpPr>
          <xdr:cNvPr id="141" name="Oval 140">
            <a:extLst>
              <a:ext uri="{FF2B5EF4-FFF2-40B4-BE49-F238E27FC236}">
                <a16:creationId xmlns:a16="http://schemas.microsoft.com/office/drawing/2014/main" id="{00000000-0008-0000-0300-00008D000000}"/>
              </a:ext>
            </a:extLst>
          </xdr:cNvPr>
          <xdr:cNvSpPr/>
        </xdr:nvSpPr>
        <xdr:spPr>
          <a:xfrm>
            <a:off x="8248649"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42" name="TextBox 141">
            <a:extLst>
              <a:ext uri="{FF2B5EF4-FFF2-40B4-BE49-F238E27FC236}">
                <a16:creationId xmlns:a16="http://schemas.microsoft.com/office/drawing/2014/main" id="{00000000-0008-0000-0300-00008E000000}"/>
              </a:ext>
            </a:extLst>
          </xdr:cNvPr>
          <xdr:cNvSpPr txBox="1"/>
        </xdr:nvSpPr>
        <xdr:spPr>
          <a:xfrm>
            <a:off x="8181975" y="1514475"/>
            <a:ext cx="79201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Contacts</a:t>
            </a:r>
          </a:p>
        </xdr:txBody>
      </xdr:sp>
      <xdr:pic>
        <xdr:nvPicPr>
          <xdr:cNvPr id="143" name="Graphic 142" descr="Target Audience">
            <a:extLst>
              <a:ext uri="{FF2B5EF4-FFF2-40B4-BE49-F238E27FC236}">
                <a16:creationId xmlns:a16="http://schemas.microsoft.com/office/drawing/2014/main" id="{00000000-0008-0000-0300-00008F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8365276" y="973876"/>
            <a:ext cx="416774" cy="416774"/>
          </a:xfrm>
          <a:prstGeom prst="rect">
            <a:avLst/>
          </a:prstGeom>
        </xdr:spPr>
      </xdr:pic>
    </xdr:grpSp>
    <xdr:clientData/>
  </xdr:twoCellAnchor>
  <xdr:twoCellAnchor editAs="absolute">
    <xdr:from>
      <xdr:col>6</xdr:col>
      <xdr:colOff>398166</xdr:colOff>
      <xdr:row>0</xdr:row>
      <xdr:rowOff>583196</xdr:rowOff>
    </xdr:from>
    <xdr:to>
      <xdr:col>6</xdr:col>
      <xdr:colOff>581046</xdr:colOff>
      <xdr:row>1</xdr:row>
      <xdr:rowOff>150822</xdr:rowOff>
    </xdr:to>
    <xdr:pic>
      <xdr:nvPicPr>
        <xdr:cNvPr id="145" name="Graphic 144" descr="Play">
          <a:extLst>
            <a:ext uri="{FF2B5EF4-FFF2-40B4-BE49-F238E27FC236}">
              <a16:creationId xmlns:a16="http://schemas.microsoft.com/office/drawing/2014/main" id="{00000000-0008-0000-0300-00009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5400000">
          <a:off x="8830906" y="577194"/>
          <a:ext cx="183576" cy="182880"/>
        </a:xfrm>
        <a:prstGeom prst="rect">
          <a:avLst/>
        </a:prstGeom>
      </xdr:spPr>
    </xdr:pic>
    <xdr:clientData/>
  </xdr:twoCellAnchor>
  <xdr:twoCellAnchor editAs="absolute">
    <xdr:from>
      <xdr:col>9</xdr:col>
      <xdr:colOff>298160</xdr:colOff>
      <xdr:row>0</xdr:row>
      <xdr:rowOff>371475</xdr:rowOff>
    </xdr:from>
    <xdr:to>
      <xdr:col>10</xdr:col>
      <xdr:colOff>715530</xdr:colOff>
      <xdr:row>1</xdr:row>
      <xdr:rowOff>49465</xdr:rowOff>
    </xdr:to>
    <xdr:grpSp>
      <xdr:nvGrpSpPr>
        <xdr:cNvPr id="146" name="Group 145">
          <a:hlinkClick xmlns:r="http://schemas.openxmlformats.org/officeDocument/2006/relationships" r:id="rId25"/>
          <a:extLst>
            <a:ext uri="{FF2B5EF4-FFF2-40B4-BE49-F238E27FC236}">
              <a16:creationId xmlns:a16="http://schemas.microsoft.com/office/drawing/2014/main" id="{00000000-0008-0000-0300-000092000000}"/>
            </a:ext>
          </a:extLst>
        </xdr:cNvPr>
        <xdr:cNvGrpSpPr/>
      </xdr:nvGrpSpPr>
      <xdr:grpSpPr>
        <a:xfrm>
          <a:off x="13308516" y="368300"/>
          <a:ext cx="1167464" cy="285209"/>
          <a:chOff x="12792075" y="371475"/>
          <a:chExt cx="1019176" cy="281240"/>
        </a:xfrm>
      </xdr:grpSpPr>
      <xdr:pic>
        <xdr:nvPicPr>
          <xdr:cNvPr id="147" name="Graphic 146" descr="Link">
            <a:extLst>
              <a:ext uri="{FF2B5EF4-FFF2-40B4-BE49-F238E27FC236}">
                <a16:creationId xmlns:a16="http://schemas.microsoft.com/office/drawing/2014/main" id="{00000000-0008-0000-0300-00009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2792075" y="419100"/>
            <a:ext cx="182880" cy="182880"/>
          </a:xfrm>
          <a:prstGeom prst="rect">
            <a:avLst/>
          </a:prstGeom>
        </xdr:spPr>
      </xdr:pic>
      <xdr:sp macro="" textlink="">
        <xdr:nvSpPr>
          <xdr:cNvPr id="148" name="TextBox 147">
            <a:extLst>
              <a:ext uri="{FF2B5EF4-FFF2-40B4-BE49-F238E27FC236}">
                <a16:creationId xmlns:a16="http://schemas.microsoft.com/office/drawing/2014/main" id="{00000000-0008-0000-0300-000094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absolute">
    <xdr:from>
      <xdr:col>2</xdr:col>
      <xdr:colOff>1524000</xdr:colOff>
      <xdr:row>0</xdr:row>
      <xdr:rowOff>333375</xdr:rowOff>
    </xdr:from>
    <xdr:to>
      <xdr:col>2</xdr:col>
      <xdr:colOff>2266950</xdr:colOff>
      <xdr:row>1</xdr:row>
      <xdr:rowOff>38100</xdr:rowOff>
    </xdr:to>
    <xdr:sp macro="" textlink="">
      <xdr:nvSpPr>
        <xdr:cNvPr id="149" name="TextBox 148">
          <a:extLst>
            <a:ext uri="{FF2B5EF4-FFF2-40B4-BE49-F238E27FC236}">
              <a16:creationId xmlns:a16="http://schemas.microsoft.com/office/drawing/2014/main" id="{00000000-0008-0000-0300-000095000000}"/>
            </a:ext>
          </a:extLst>
        </xdr:cNvPr>
        <xdr:cNvSpPr txBox="1"/>
      </xdr:nvSpPr>
      <xdr:spPr>
        <a:xfrm>
          <a:off x="2781300" y="333375"/>
          <a:ext cx="7429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2</xdr:col>
      <xdr:colOff>2057399</xdr:colOff>
      <xdr:row>0</xdr:row>
      <xdr:rowOff>333375</xdr:rowOff>
    </xdr:from>
    <xdr:to>
      <xdr:col>3</xdr:col>
      <xdr:colOff>252</xdr:colOff>
      <xdr:row>1</xdr:row>
      <xdr:rowOff>38100</xdr:rowOff>
    </xdr:to>
    <xdr:sp macro="" textlink="'1-Description'!E31">
      <xdr:nvSpPr>
        <xdr:cNvPr id="150" name="TextBox 149">
          <a:extLst>
            <a:ext uri="{FF2B5EF4-FFF2-40B4-BE49-F238E27FC236}">
              <a16:creationId xmlns:a16="http://schemas.microsoft.com/office/drawing/2014/main" id="{00000000-0008-0000-0300-000096000000}"/>
            </a:ext>
          </a:extLst>
        </xdr:cNvPr>
        <xdr:cNvSpPr txBox="1"/>
      </xdr:nvSpPr>
      <xdr:spPr>
        <a:xfrm>
          <a:off x="3314699" y="333375"/>
          <a:ext cx="25622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Post-MVP/Pre-depl. assessment</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twoCellAnchor editAs="absolute">
    <xdr:from>
      <xdr:col>9</xdr:col>
      <xdr:colOff>164810</xdr:colOff>
      <xdr:row>2</xdr:row>
      <xdr:rowOff>9525</xdr:rowOff>
    </xdr:from>
    <xdr:to>
      <xdr:col>10</xdr:col>
      <xdr:colOff>542552</xdr:colOff>
      <xdr:row>6</xdr:row>
      <xdr:rowOff>174120</xdr:rowOff>
    </xdr:to>
    <xdr:grpSp>
      <xdr:nvGrpSpPr>
        <xdr:cNvPr id="151" name="Group 150">
          <a:hlinkClick xmlns:r="http://schemas.openxmlformats.org/officeDocument/2006/relationships" r:id="rId28"/>
          <a:extLst>
            <a:ext uri="{FF2B5EF4-FFF2-40B4-BE49-F238E27FC236}">
              <a16:creationId xmlns:a16="http://schemas.microsoft.com/office/drawing/2014/main" id="{00000000-0008-0000-0300-000097000000}"/>
            </a:ext>
          </a:extLst>
        </xdr:cNvPr>
        <xdr:cNvGrpSpPr/>
      </xdr:nvGrpSpPr>
      <xdr:grpSpPr>
        <a:xfrm>
          <a:off x="13175166" y="815975"/>
          <a:ext cx="1134186" cy="977395"/>
          <a:chOff x="7753549" y="790575"/>
          <a:chExt cx="1022844" cy="926595"/>
        </a:xfrm>
      </xdr:grpSpPr>
      <xdr:grpSp>
        <xdr:nvGrpSpPr>
          <xdr:cNvPr id="152" name="Group 151">
            <a:extLst>
              <a:ext uri="{FF2B5EF4-FFF2-40B4-BE49-F238E27FC236}">
                <a16:creationId xmlns:a16="http://schemas.microsoft.com/office/drawing/2014/main" id="{00000000-0008-0000-0300-000098000000}"/>
              </a:ext>
            </a:extLst>
          </xdr:cNvPr>
          <xdr:cNvGrpSpPr/>
        </xdr:nvGrpSpPr>
        <xdr:grpSpPr>
          <a:xfrm>
            <a:off x="7753549" y="790575"/>
            <a:ext cx="1022844" cy="926595"/>
            <a:chOff x="5000625" y="857249"/>
            <a:chExt cx="1022844" cy="926595"/>
          </a:xfrm>
        </xdr:grpSpPr>
        <xdr:sp macro="" textlink="">
          <xdr:nvSpPr>
            <xdr:cNvPr id="154" name="Oval 153">
              <a:extLst>
                <a:ext uri="{FF2B5EF4-FFF2-40B4-BE49-F238E27FC236}">
                  <a16:creationId xmlns:a16="http://schemas.microsoft.com/office/drawing/2014/main" id="{00000000-0008-0000-0300-00009A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55" name="TextBox 154">
              <a:extLst>
                <a:ext uri="{FF2B5EF4-FFF2-40B4-BE49-F238E27FC236}">
                  <a16:creationId xmlns:a16="http://schemas.microsoft.com/office/drawing/2014/main" id="{00000000-0008-0000-0300-00009B000000}"/>
                </a:ext>
              </a:extLst>
            </xdr:cNvPr>
            <xdr:cNvSpPr txBox="1"/>
          </xdr:nvSpPr>
          <xdr:spPr>
            <a:xfrm>
              <a:off x="5000625"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153" name="Graphic 152" descr="Bar chart">
            <a:extLst>
              <a:ext uri="{FF2B5EF4-FFF2-40B4-BE49-F238E27FC236}">
                <a16:creationId xmlns:a16="http://schemas.microsoft.com/office/drawing/2014/main" id="{00000000-0008-0000-0300-000099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8055750" y="912000"/>
            <a:ext cx="411480" cy="411480"/>
          </a:xfrm>
          <a:prstGeom prst="rect">
            <a:avLst/>
          </a:prstGeom>
        </xdr:spPr>
      </xdr:pic>
    </xdr:grpSp>
    <xdr:clientData/>
  </xdr:twoCellAnchor>
  <xdr:twoCellAnchor>
    <xdr:from>
      <xdr:col>10</xdr:col>
      <xdr:colOff>1608200</xdr:colOff>
      <xdr:row>120</xdr:row>
      <xdr:rowOff>104775</xdr:rowOff>
    </xdr:from>
    <xdr:to>
      <xdr:col>11</xdr:col>
      <xdr:colOff>19049</xdr:colOff>
      <xdr:row>122</xdr:row>
      <xdr:rowOff>171450</xdr:rowOff>
    </xdr:to>
    <xdr:grpSp>
      <xdr:nvGrpSpPr>
        <xdr:cNvPr id="48" name="Group 47">
          <a:hlinkClick xmlns:r="http://schemas.openxmlformats.org/officeDocument/2006/relationships" r:id="rId20"/>
          <a:extLst>
            <a:ext uri="{FF2B5EF4-FFF2-40B4-BE49-F238E27FC236}">
              <a16:creationId xmlns:a16="http://schemas.microsoft.com/office/drawing/2014/main" id="{00000000-0008-0000-0300-000030000000}"/>
            </a:ext>
          </a:extLst>
        </xdr:cNvPr>
        <xdr:cNvGrpSpPr/>
      </xdr:nvGrpSpPr>
      <xdr:grpSpPr>
        <a:xfrm>
          <a:off x="15375000" y="38630225"/>
          <a:ext cx="741299" cy="653256"/>
          <a:chOff x="6610350" y="7724775"/>
          <a:chExt cx="819150" cy="819150"/>
        </a:xfrm>
      </xdr:grpSpPr>
      <xdr:sp macro="" textlink="">
        <xdr:nvSpPr>
          <xdr:cNvPr id="49" name="Oval 48">
            <a:extLst>
              <a:ext uri="{FF2B5EF4-FFF2-40B4-BE49-F238E27FC236}">
                <a16:creationId xmlns:a16="http://schemas.microsoft.com/office/drawing/2014/main" id="{00000000-0008-0000-0300-00003100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0" name="Graphic 49" descr="Line arrow Straight">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0800000">
            <a:off x="6781799" y="7924799"/>
            <a:ext cx="457200" cy="457200"/>
          </a:xfrm>
          <a:prstGeom prst="rect">
            <a:avLst/>
          </a:prstGeom>
        </xdr:spPr>
      </xdr:pic>
    </xdr:grpSp>
    <xdr:clientData/>
  </xdr:twoCellAnchor>
  <xdr:twoCellAnchor>
    <xdr:from>
      <xdr:col>9</xdr:col>
      <xdr:colOff>454819</xdr:colOff>
      <xdr:row>10</xdr:row>
      <xdr:rowOff>66675</xdr:rowOff>
    </xdr:from>
    <xdr:to>
      <xdr:col>11</xdr:col>
      <xdr:colOff>371475</xdr:colOff>
      <xdr:row>15</xdr:row>
      <xdr:rowOff>38100</xdr:rowOff>
    </xdr:to>
    <xdr:grpSp>
      <xdr:nvGrpSpPr>
        <xdr:cNvPr id="51" name="Group 50">
          <a:extLst>
            <a:ext uri="{FF2B5EF4-FFF2-40B4-BE49-F238E27FC236}">
              <a16:creationId xmlns:a16="http://schemas.microsoft.com/office/drawing/2014/main" id="{00000000-0008-0000-0300-000033000000}"/>
            </a:ext>
          </a:extLst>
        </xdr:cNvPr>
        <xdr:cNvGrpSpPr/>
      </xdr:nvGrpSpPr>
      <xdr:grpSpPr>
        <a:xfrm>
          <a:off x="13468350" y="2670969"/>
          <a:ext cx="2997200" cy="986631"/>
          <a:chOff x="797719" y="2809874"/>
          <a:chExt cx="2878931" cy="1190932"/>
        </a:xfrm>
      </xdr:grpSpPr>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866775" y="2809874"/>
            <a:ext cx="2809875" cy="1190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solidFill>
                  <a:srgbClr val="17948C"/>
                </a:solidFill>
                <a:latin typeface="+mj-lt"/>
                <a:cs typeface="Calibri Light" panose="020F0302020204030204" pitchFamily="34" charset="0"/>
              </a:rPr>
              <a:t>Please use the calculations below to calculate the total investment and maintenance</a:t>
            </a:r>
            <a:r>
              <a:rPr lang="en-US" sz="1200" i="1" baseline="0">
                <a:solidFill>
                  <a:srgbClr val="17948C"/>
                </a:solidFill>
                <a:latin typeface="+mj-lt"/>
                <a:cs typeface="Calibri Light" panose="020F0302020204030204" pitchFamily="34" charset="0"/>
              </a:rPr>
              <a:t> costs. For a detailed guide, see section at the bottom.</a:t>
            </a:r>
            <a:endParaRPr lang="en-US" sz="1200" i="1">
              <a:solidFill>
                <a:srgbClr val="17948C"/>
              </a:solidFill>
              <a:latin typeface="+mj-lt"/>
              <a:cs typeface="Calibri Light" panose="020F0302020204030204" pitchFamily="34" charset="0"/>
            </a:endParaRPr>
          </a:p>
        </xdr:txBody>
      </xdr:sp>
      <xdr:cxnSp macro="">
        <xdr:nvCxnSpPr>
          <xdr:cNvPr id="53" name="Straight Connector 52">
            <a:extLst>
              <a:ext uri="{FF2B5EF4-FFF2-40B4-BE49-F238E27FC236}">
                <a16:creationId xmlns:a16="http://schemas.microsoft.com/office/drawing/2014/main" id="{00000000-0008-0000-0300-000035000000}"/>
              </a:ext>
            </a:extLst>
          </xdr:cNvPr>
          <xdr:cNvCxnSpPr/>
        </xdr:nvCxnSpPr>
        <xdr:spPr>
          <a:xfrm>
            <a:off x="797719" y="2838449"/>
            <a:ext cx="0" cy="1008789"/>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180975</xdr:colOff>
      <xdr:row>12</xdr:row>
      <xdr:rowOff>28576</xdr:rowOff>
    </xdr:from>
    <xdr:to>
      <xdr:col>9</xdr:col>
      <xdr:colOff>363855</xdr:colOff>
      <xdr:row>13</xdr:row>
      <xdr:rowOff>11431</xdr:rowOff>
    </xdr:to>
    <xdr:pic>
      <xdr:nvPicPr>
        <xdr:cNvPr id="54" name="Graphic 53" descr="Information">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325100" y="3019426"/>
          <a:ext cx="182880" cy="182880"/>
        </a:xfrm>
        <a:prstGeom prst="rect">
          <a:avLst/>
        </a:prstGeom>
      </xdr:spPr>
    </xdr:pic>
    <xdr:clientData/>
  </xdr:twoCellAnchor>
  <xdr:twoCellAnchor editAs="oneCell">
    <xdr:from>
      <xdr:col>3</xdr:col>
      <xdr:colOff>24847</xdr:colOff>
      <xdr:row>22</xdr:row>
      <xdr:rowOff>124238</xdr:rowOff>
    </xdr:from>
    <xdr:to>
      <xdr:col>4</xdr:col>
      <xdr:colOff>19876</xdr:colOff>
      <xdr:row>23</xdr:row>
      <xdr:rowOff>8281</xdr:rowOff>
    </xdr:to>
    <xdr:pic>
      <xdr:nvPicPr>
        <xdr:cNvPr id="3" name="Graphic 2" descr="Line arrow Straight">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5035825"/>
          <a:ext cx="185529" cy="207065"/>
        </a:xfrm>
        <a:prstGeom prst="rect">
          <a:avLst/>
        </a:prstGeom>
      </xdr:spPr>
    </xdr:pic>
    <xdr:clientData/>
  </xdr:twoCellAnchor>
  <xdr:twoCellAnchor editAs="oneCell">
    <xdr:from>
      <xdr:col>3</xdr:col>
      <xdr:colOff>24847</xdr:colOff>
      <xdr:row>30</xdr:row>
      <xdr:rowOff>115956</xdr:rowOff>
    </xdr:from>
    <xdr:to>
      <xdr:col>4</xdr:col>
      <xdr:colOff>19876</xdr:colOff>
      <xdr:row>31</xdr:row>
      <xdr:rowOff>9851</xdr:rowOff>
    </xdr:to>
    <xdr:pic>
      <xdr:nvPicPr>
        <xdr:cNvPr id="57" name="Graphic 56" descr="Line arrow Straight">
          <a:extLst>
            <a:ext uri="{FF2B5EF4-FFF2-40B4-BE49-F238E27FC236}">
              <a16:creationId xmlns:a16="http://schemas.microsoft.com/office/drawing/2014/main" id="{00000000-0008-0000-0300-000039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7661413"/>
          <a:ext cx="185529" cy="207065"/>
        </a:xfrm>
        <a:prstGeom prst="rect">
          <a:avLst/>
        </a:prstGeom>
      </xdr:spPr>
    </xdr:pic>
    <xdr:clientData/>
  </xdr:twoCellAnchor>
  <xdr:twoCellAnchor editAs="oneCell">
    <xdr:from>
      <xdr:col>3</xdr:col>
      <xdr:colOff>24847</xdr:colOff>
      <xdr:row>38</xdr:row>
      <xdr:rowOff>115957</xdr:rowOff>
    </xdr:from>
    <xdr:to>
      <xdr:col>4</xdr:col>
      <xdr:colOff>19876</xdr:colOff>
      <xdr:row>39</xdr:row>
      <xdr:rowOff>916</xdr:rowOff>
    </xdr:to>
    <xdr:pic>
      <xdr:nvPicPr>
        <xdr:cNvPr id="58" name="Graphic 57" descr="Line arrow Straight">
          <a:extLst>
            <a:ext uri="{FF2B5EF4-FFF2-40B4-BE49-F238E27FC236}">
              <a16:creationId xmlns:a16="http://schemas.microsoft.com/office/drawing/2014/main" id="{00000000-0008-0000-0300-00003A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11007587"/>
          <a:ext cx="185529" cy="207065"/>
        </a:xfrm>
        <a:prstGeom prst="rect">
          <a:avLst/>
        </a:prstGeom>
      </xdr:spPr>
    </xdr:pic>
    <xdr:clientData/>
  </xdr:twoCellAnchor>
  <xdr:twoCellAnchor editAs="oneCell">
    <xdr:from>
      <xdr:col>3</xdr:col>
      <xdr:colOff>24847</xdr:colOff>
      <xdr:row>46</xdr:row>
      <xdr:rowOff>115957</xdr:rowOff>
    </xdr:from>
    <xdr:to>
      <xdr:col>4</xdr:col>
      <xdr:colOff>19876</xdr:colOff>
      <xdr:row>47</xdr:row>
      <xdr:rowOff>9852</xdr:rowOff>
    </xdr:to>
    <xdr:pic>
      <xdr:nvPicPr>
        <xdr:cNvPr id="59" name="Graphic 58" descr="Line arrow Straight">
          <a:extLst>
            <a:ext uri="{FF2B5EF4-FFF2-40B4-BE49-F238E27FC236}">
              <a16:creationId xmlns:a16="http://schemas.microsoft.com/office/drawing/2014/main" id="{00000000-0008-0000-0300-00003B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15157174"/>
          <a:ext cx="185529" cy="207065"/>
        </a:xfrm>
        <a:prstGeom prst="rect">
          <a:avLst/>
        </a:prstGeom>
      </xdr:spPr>
    </xdr:pic>
    <xdr:clientData/>
  </xdr:twoCellAnchor>
  <xdr:twoCellAnchor editAs="oneCell">
    <xdr:from>
      <xdr:col>3</xdr:col>
      <xdr:colOff>24847</xdr:colOff>
      <xdr:row>54</xdr:row>
      <xdr:rowOff>107674</xdr:rowOff>
    </xdr:from>
    <xdr:to>
      <xdr:col>4</xdr:col>
      <xdr:colOff>19876</xdr:colOff>
      <xdr:row>54</xdr:row>
      <xdr:rowOff>314739</xdr:rowOff>
    </xdr:to>
    <xdr:pic>
      <xdr:nvPicPr>
        <xdr:cNvPr id="60" name="Graphic 59" descr="Line arrow Straight">
          <a:extLst>
            <a:ext uri="{FF2B5EF4-FFF2-40B4-BE49-F238E27FC236}">
              <a16:creationId xmlns:a16="http://schemas.microsoft.com/office/drawing/2014/main" id="{00000000-0008-0000-0300-00003C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18213457"/>
          <a:ext cx="185529" cy="207065"/>
        </a:xfrm>
        <a:prstGeom prst="rect">
          <a:avLst/>
        </a:prstGeom>
      </xdr:spPr>
    </xdr:pic>
    <xdr:clientData/>
  </xdr:twoCellAnchor>
  <xdr:twoCellAnchor editAs="oneCell">
    <xdr:from>
      <xdr:col>3</xdr:col>
      <xdr:colOff>24847</xdr:colOff>
      <xdr:row>80</xdr:row>
      <xdr:rowOff>115956</xdr:rowOff>
    </xdr:from>
    <xdr:to>
      <xdr:col>4</xdr:col>
      <xdr:colOff>19876</xdr:colOff>
      <xdr:row>81</xdr:row>
      <xdr:rowOff>635</xdr:rowOff>
    </xdr:to>
    <xdr:pic>
      <xdr:nvPicPr>
        <xdr:cNvPr id="61" name="Graphic 60" descr="Line arrow Straight">
          <a:extLst>
            <a:ext uri="{FF2B5EF4-FFF2-40B4-BE49-F238E27FC236}">
              <a16:creationId xmlns:a16="http://schemas.microsoft.com/office/drawing/2014/main" id="{00000000-0008-0000-0300-00003D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26703130"/>
          <a:ext cx="185529" cy="207065"/>
        </a:xfrm>
        <a:prstGeom prst="rect">
          <a:avLst/>
        </a:prstGeom>
      </xdr:spPr>
    </xdr:pic>
    <xdr:clientData/>
  </xdr:twoCellAnchor>
  <xdr:twoCellAnchor editAs="oneCell">
    <xdr:from>
      <xdr:col>3</xdr:col>
      <xdr:colOff>24847</xdr:colOff>
      <xdr:row>88</xdr:row>
      <xdr:rowOff>124240</xdr:rowOff>
    </xdr:from>
    <xdr:to>
      <xdr:col>4</xdr:col>
      <xdr:colOff>19876</xdr:colOff>
      <xdr:row>89</xdr:row>
      <xdr:rowOff>8284</xdr:rowOff>
    </xdr:to>
    <xdr:pic>
      <xdr:nvPicPr>
        <xdr:cNvPr id="62" name="Graphic 61" descr="Line arrow Straight">
          <a:extLst>
            <a:ext uri="{FF2B5EF4-FFF2-40B4-BE49-F238E27FC236}">
              <a16:creationId xmlns:a16="http://schemas.microsoft.com/office/drawing/2014/main" id="{00000000-0008-0000-0300-00003E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29345283"/>
          <a:ext cx="185529" cy="207065"/>
        </a:xfrm>
        <a:prstGeom prst="rect">
          <a:avLst/>
        </a:prstGeom>
      </xdr:spPr>
    </xdr:pic>
    <xdr:clientData/>
  </xdr:twoCellAnchor>
  <xdr:twoCellAnchor editAs="oneCell">
    <xdr:from>
      <xdr:col>3</xdr:col>
      <xdr:colOff>24847</xdr:colOff>
      <xdr:row>96</xdr:row>
      <xdr:rowOff>124241</xdr:rowOff>
    </xdr:from>
    <xdr:to>
      <xdr:col>4</xdr:col>
      <xdr:colOff>19876</xdr:colOff>
      <xdr:row>97</xdr:row>
      <xdr:rowOff>8285</xdr:rowOff>
    </xdr:to>
    <xdr:pic>
      <xdr:nvPicPr>
        <xdr:cNvPr id="63" name="Graphic 62" descr="Line arrow Straight">
          <a:extLst>
            <a:ext uri="{FF2B5EF4-FFF2-40B4-BE49-F238E27FC236}">
              <a16:creationId xmlns:a16="http://schemas.microsoft.com/office/drawing/2014/main" id="{00000000-0008-0000-0300-00003F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31979154"/>
          <a:ext cx="185529" cy="207065"/>
        </a:xfrm>
        <a:prstGeom prst="rect">
          <a:avLst/>
        </a:prstGeom>
      </xdr:spPr>
    </xdr:pic>
    <xdr:clientData/>
  </xdr:twoCellAnchor>
  <xdr:oneCellAnchor>
    <xdr:from>
      <xdr:col>3</xdr:col>
      <xdr:colOff>24847</xdr:colOff>
      <xdr:row>30</xdr:row>
      <xdr:rowOff>124238</xdr:rowOff>
    </xdr:from>
    <xdr:ext cx="185529" cy="209014"/>
    <xdr:pic>
      <xdr:nvPicPr>
        <xdr:cNvPr id="64" name="Graphic 63" descr="Line arrow Straight">
          <a:extLst>
            <a:ext uri="{FF2B5EF4-FFF2-40B4-BE49-F238E27FC236}">
              <a16:creationId xmlns:a16="http://schemas.microsoft.com/office/drawing/2014/main" id="{00000000-0008-0000-0300-000040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5066032"/>
          <a:ext cx="185529" cy="209014"/>
        </a:xfrm>
        <a:prstGeom prst="rect">
          <a:avLst/>
        </a:prstGeom>
      </xdr:spPr>
    </xdr:pic>
    <xdr:clientData/>
  </xdr:oneCellAnchor>
  <xdr:oneCellAnchor>
    <xdr:from>
      <xdr:col>3</xdr:col>
      <xdr:colOff>24847</xdr:colOff>
      <xdr:row>38</xdr:row>
      <xdr:rowOff>124238</xdr:rowOff>
    </xdr:from>
    <xdr:ext cx="185529" cy="209014"/>
    <xdr:pic>
      <xdr:nvPicPr>
        <xdr:cNvPr id="66" name="Graphic 65" descr="Line arrow Straight">
          <a:extLst>
            <a:ext uri="{FF2B5EF4-FFF2-40B4-BE49-F238E27FC236}">
              <a16:creationId xmlns:a16="http://schemas.microsoft.com/office/drawing/2014/main" id="{00000000-0008-0000-0300-000042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5066032"/>
          <a:ext cx="185529" cy="209014"/>
        </a:xfrm>
        <a:prstGeom prst="rect">
          <a:avLst/>
        </a:prstGeom>
      </xdr:spPr>
    </xdr:pic>
    <xdr:clientData/>
  </xdr:oneCellAnchor>
  <xdr:oneCellAnchor>
    <xdr:from>
      <xdr:col>3</xdr:col>
      <xdr:colOff>24847</xdr:colOff>
      <xdr:row>46</xdr:row>
      <xdr:rowOff>115957</xdr:rowOff>
    </xdr:from>
    <xdr:ext cx="185529" cy="206427"/>
    <xdr:pic>
      <xdr:nvPicPr>
        <xdr:cNvPr id="67" name="Graphic 66" descr="Line arrow Straight">
          <a:extLst>
            <a:ext uri="{FF2B5EF4-FFF2-40B4-BE49-F238E27FC236}">
              <a16:creationId xmlns:a16="http://schemas.microsoft.com/office/drawing/2014/main" id="{00000000-0008-0000-0300-000043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64104"/>
          <a:ext cx="185529" cy="206427"/>
        </a:xfrm>
        <a:prstGeom prst="rect">
          <a:avLst/>
        </a:prstGeom>
      </xdr:spPr>
    </xdr:pic>
    <xdr:clientData/>
  </xdr:oneCellAnchor>
  <xdr:oneCellAnchor>
    <xdr:from>
      <xdr:col>3</xdr:col>
      <xdr:colOff>24847</xdr:colOff>
      <xdr:row>46</xdr:row>
      <xdr:rowOff>124238</xdr:rowOff>
    </xdr:from>
    <xdr:ext cx="185529" cy="209014"/>
    <xdr:pic>
      <xdr:nvPicPr>
        <xdr:cNvPr id="68" name="Graphic 67" descr="Line arrow Straight">
          <a:extLst>
            <a:ext uri="{FF2B5EF4-FFF2-40B4-BE49-F238E27FC236}">
              <a16:creationId xmlns:a16="http://schemas.microsoft.com/office/drawing/2014/main" id="{00000000-0008-0000-0300-000044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72385"/>
          <a:ext cx="185529" cy="209014"/>
        </a:xfrm>
        <a:prstGeom prst="rect">
          <a:avLst/>
        </a:prstGeom>
      </xdr:spPr>
    </xdr:pic>
    <xdr:clientData/>
  </xdr:oneCellAnchor>
  <xdr:oneCellAnchor>
    <xdr:from>
      <xdr:col>3</xdr:col>
      <xdr:colOff>24847</xdr:colOff>
      <xdr:row>54</xdr:row>
      <xdr:rowOff>115957</xdr:rowOff>
    </xdr:from>
    <xdr:ext cx="185529" cy="206427"/>
    <xdr:pic>
      <xdr:nvPicPr>
        <xdr:cNvPr id="69" name="Graphic 68" descr="Line arrow Straight">
          <a:extLst>
            <a:ext uri="{FF2B5EF4-FFF2-40B4-BE49-F238E27FC236}">
              <a16:creationId xmlns:a16="http://schemas.microsoft.com/office/drawing/2014/main" id="{00000000-0008-0000-0300-000045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64104"/>
          <a:ext cx="185529" cy="206427"/>
        </a:xfrm>
        <a:prstGeom prst="rect">
          <a:avLst/>
        </a:prstGeom>
      </xdr:spPr>
    </xdr:pic>
    <xdr:clientData/>
  </xdr:oneCellAnchor>
  <xdr:oneCellAnchor>
    <xdr:from>
      <xdr:col>3</xdr:col>
      <xdr:colOff>24847</xdr:colOff>
      <xdr:row>54</xdr:row>
      <xdr:rowOff>124238</xdr:rowOff>
    </xdr:from>
    <xdr:ext cx="185529" cy="209014"/>
    <xdr:pic>
      <xdr:nvPicPr>
        <xdr:cNvPr id="70" name="Graphic 69" descr="Line arrow Straight">
          <a:extLst>
            <a:ext uri="{FF2B5EF4-FFF2-40B4-BE49-F238E27FC236}">
              <a16:creationId xmlns:a16="http://schemas.microsoft.com/office/drawing/2014/main" id="{00000000-0008-0000-0300-000046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72385"/>
          <a:ext cx="185529" cy="209014"/>
        </a:xfrm>
        <a:prstGeom prst="rect">
          <a:avLst/>
        </a:prstGeom>
      </xdr:spPr>
    </xdr:pic>
    <xdr:clientData/>
  </xdr:oneCellAnchor>
  <xdr:oneCellAnchor>
    <xdr:from>
      <xdr:col>3</xdr:col>
      <xdr:colOff>24847</xdr:colOff>
      <xdr:row>80</xdr:row>
      <xdr:rowOff>115957</xdr:rowOff>
    </xdr:from>
    <xdr:ext cx="185529" cy="206427"/>
    <xdr:pic>
      <xdr:nvPicPr>
        <xdr:cNvPr id="71" name="Graphic 70" descr="Line arrow Straight">
          <a:extLst>
            <a:ext uri="{FF2B5EF4-FFF2-40B4-BE49-F238E27FC236}">
              <a16:creationId xmlns:a16="http://schemas.microsoft.com/office/drawing/2014/main" id="{00000000-0008-0000-0300-000047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64104"/>
          <a:ext cx="185529" cy="206427"/>
        </a:xfrm>
        <a:prstGeom prst="rect">
          <a:avLst/>
        </a:prstGeom>
      </xdr:spPr>
    </xdr:pic>
    <xdr:clientData/>
  </xdr:oneCellAnchor>
  <xdr:oneCellAnchor>
    <xdr:from>
      <xdr:col>3</xdr:col>
      <xdr:colOff>24847</xdr:colOff>
      <xdr:row>80</xdr:row>
      <xdr:rowOff>124238</xdr:rowOff>
    </xdr:from>
    <xdr:ext cx="185529" cy="209014"/>
    <xdr:pic>
      <xdr:nvPicPr>
        <xdr:cNvPr id="72" name="Graphic 71" descr="Line arrow Straight">
          <a:extLst>
            <a:ext uri="{FF2B5EF4-FFF2-40B4-BE49-F238E27FC236}">
              <a16:creationId xmlns:a16="http://schemas.microsoft.com/office/drawing/2014/main" id="{00000000-0008-0000-0300-000048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72385"/>
          <a:ext cx="185529" cy="209014"/>
        </a:xfrm>
        <a:prstGeom prst="rect">
          <a:avLst/>
        </a:prstGeom>
      </xdr:spPr>
    </xdr:pic>
    <xdr:clientData/>
  </xdr:oneCellAnchor>
  <xdr:oneCellAnchor>
    <xdr:from>
      <xdr:col>3</xdr:col>
      <xdr:colOff>24847</xdr:colOff>
      <xdr:row>88</xdr:row>
      <xdr:rowOff>115957</xdr:rowOff>
    </xdr:from>
    <xdr:ext cx="185529" cy="206427"/>
    <xdr:pic>
      <xdr:nvPicPr>
        <xdr:cNvPr id="73" name="Graphic 72" descr="Line arrow Straight">
          <a:extLst>
            <a:ext uri="{FF2B5EF4-FFF2-40B4-BE49-F238E27FC236}">
              <a16:creationId xmlns:a16="http://schemas.microsoft.com/office/drawing/2014/main" id="{00000000-0008-0000-0300-000049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64104"/>
          <a:ext cx="185529" cy="206427"/>
        </a:xfrm>
        <a:prstGeom prst="rect">
          <a:avLst/>
        </a:prstGeom>
      </xdr:spPr>
    </xdr:pic>
    <xdr:clientData/>
  </xdr:oneCellAnchor>
  <xdr:oneCellAnchor>
    <xdr:from>
      <xdr:col>3</xdr:col>
      <xdr:colOff>24847</xdr:colOff>
      <xdr:row>88</xdr:row>
      <xdr:rowOff>124238</xdr:rowOff>
    </xdr:from>
    <xdr:ext cx="185529" cy="209014"/>
    <xdr:pic>
      <xdr:nvPicPr>
        <xdr:cNvPr id="74" name="Graphic 73" descr="Line arrow Straight">
          <a:extLst>
            <a:ext uri="{FF2B5EF4-FFF2-40B4-BE49-F238E27FC236}">
              <a16:creationId xmlns:a16="http://schemas.microsoft.com/office/drawing/2014/main" id="{00000000-0008-0000-0300-00004A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72385"/>
          <a:ext cx="185529" cy="209014"/>
        </a:xfrm>
        <a:prstGeom prst="rect">
          <a:avLst/>
        </a:prstGeom>
      </xdr:spPr>
    </xdr:pic>
    <xdr:clientData/>
  </xdr:oneCellAnchor>
  <xdr:oneCellAnchor>
    <xdr:from>
      <xdr:col>3</xdr:col>
      <xdr:colOff>24847</xdr:colOff>
      <xdr:row>96</xdr:row>
      <xdr:rowOff>115957</xdr:rowOff>
    </xdr:from>
    <xdr:ext cx="185529" cy="206427"/>
    <xdr:pic>
      <xdr:nvPicPr>
        <xdr:cNvPr id="75" name="Graphic 74" descr="Line arrow Straight">
          <a:extLst>
            <a:ext uri="{FF2B5EF4-FFF2-40B4-BE49-F238E27FC236}">
              <a16:creationId xmlns:a16="http://schemas.microsoft.com/office/drawing/2014/main" id="{00000000-0008-0000-0300-00004B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64104"/>
          <a:ext cx="185529" cy="206427"/>
        </a:xfrm>
        <a:prstGeom prst="rect">
          <a:avLst/>
        </a:prstGeom>
      </xdr:spPr>
    </xdr:pic>
    <xdr:clientData/>
  </xdr:oneCellAnchor>
  <xdr:oneCellAnchor>
    <xdr:from>
      <xdr:col>3</xdr:col>
      <xdr:colOff>24847</xdr:colOff>
      <xdr:row>96</xdr:row>
      <xdr:rowOff>124238</xdr:rowOff>
    </xdr:from>
    <xdr:ext cx="185529" cy="209014"/>
    <xdr:pic>
      <xdr:nvPicPr>
        <xdr:cNvPr id="76" name="Graphic 75" descr="Line arrow Straight">
          <a:extLst>
            <a:ext uri="{FF2B5EF4-FFF2-40B4-BE49-F238E27FC236}">
              <a16:creationId xmlns:a16="http://schemas.microsoft.com/office/drawing/2014/main" id="{00000000-0008-0000-0300-00004C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72385"/>
          <a:ext cx="185529" cy="209014"/>
        </a:xfrm>
        <a:prstGeom prst="rect">
          <a:avLst/>
        </a:prstGeom>
      </xdr:spPr>
    </xdr:pic>
    <xdr:clientData/>
  </xdr:oneCellAnchor>
  <xdr:twoCellAnchor>
    <xdr:from>
      <xdr:col>9</xdr:col>
      <xdr:colOff>226219</xdr:colOff>
      <xdr:row>17</xdr:row>
      <xdr:rowOff>23812</xdr:rowOff>
    </xdr:from>
    <xdr:to>
      <xdr:col>9</xdr:col>
      <xdr:colOff>409099</xdr:colOff>
      <xdr:row>18</xdr:row>
      <xdr:rowOff>6667</xdr:rowOff>
    </xdr:to>
    <xdr:pic>
      <xdr:nvPicPr>
        <xdr:cNvPr id="81" name="Graphic 53" descr="Information">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620625" y="3964781"/>
          <a:ext cx="182880" cy="185261"/>
        </a:xfrm>
        <a:prstGeom prst="rect">
          <a:avLst/>
        </a:prstGeom>
      </xdr:spPr>
    </xdr:pic>
    <xdr:clientData/>
  </xdr:twoCellAnchor>
  <xdr:twoCellAnchor>
    <xdr:from>
      <xdr:col>9</xdr:col>
      <xdr:colOff>464344</xdr:colOff>
      <xdr:row>16</xdr:row>
      <xdr:rowOff>11906</xdr:rowOff>
    </xdr:from>
    <xdr:to>
      <xdr:col>9</xdr:col>
      <xdr:colOff>464344</xdr:colOff>
      <xdr:row>19</xdr:row>
      <xdr:rowOff>11906</xdr:rowOff>
    </xdr:to>
    <xdr:cxnSp macro="">
      <xdr:nvCxnSpPr>
        <xdr:cNvPr id="82" name="Straight Connector 52">
          <a:extLst>
            <a:ext uri="{FF2B5EF4-FFF2-40B4-BE49-F238E27FC236}">
              <a16:creationId xmlns:a16="http://schemas.microsoft.com/office/drawing/2014/main" id="{00000000-0008-0000-0300-000052000000}"/>
            </a:ext>
          </a:extLst>
        </xdr:cNvPr>
        <xdr:cNvCxnSpPr/>
      </xdr:nvCxnSpPr>
      <xdr:spPr>
        <a:xfrm>
          <a:off x="12858750" y="3750469"/>
          <a:ext cx="0" cy="607218"/>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521264</xdr:colOff>
      <xdr:row>15</xdr:row>
      <xdr:rowOff>178593</xdr:rowOff>
    </xdr:from>
    <xdr:to>
      <xdr:col>11</xdr:col>
      <xdr:colOff>369092</xdr:colOff>
      <xdr:row>19</xdr:row>
      <xdr:rowOff>83342</xdr:rowOff>
    </xdr:to>
    <xdr:sp macro="" textlink="">
      <xdr:nvSpPr>
        <xdr:cNvPr id="85" name="TextBox 51">
          <a:extLst>
            <a:ext uri="{FF2B5EF4-FFF2-40B4-BE49-F238E27FC236}">
              <a16:creationId xmlns:a16="http://schemas.microsoft.com/office/drawing/2014/main" id="{00000000-0008-0000-0300-000055000000}"/>
            </a:ext>
          </a:extLst>
        </xdr:cNvPr>
        <xdr:cNvSpPr txBox="1"/>
      </xdr:nvSpPr>
      <xdr:spPr>
        <a:xfrm>
          <a:off x="12915670" y="3714749"/>
          <a:ext cx="2800578" cy="714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i="1">
              <a:solidFill>
                <a:srgbClr val="17948C"/>
              </a:solidFill>
            </a:rPr>
            <a:t>Option to account for yearly linear in-/ decreases in operational/maintenance costs</a:t>
          </a:r>
          <a:endParaRPr lang="en-US" sz="1200" i="1">
            <a:solidFill>
              <a:srgbClr val="17948C"/>
            </a:solidFill>
            <a:latin typeface="+mj-lt"/>
            <a:cs typeface="Calibri Light" panose="020F0302020204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606879</xdr:colOff>
      <xdr:row>6</xdr:row>
      <xdr:rowOff>195939</xdr:rowOff>
    </xdr:from>
    <xdr:to>
      <xdr:col>14</xdr:col>
      <xdr:colOff>606879</xdr:colOff>
      <xdr:row>26</xdr:row>
      <xdr:rowOff>169269</xdr:rowOff>
    </xdr:to>
    <xdr:cxnSp macro="">
      <xdr:nvCxnSpPr>
        <xdr:cNvPr id="5" name="Straight Connector 4">
          <a:extLst>
            <a:ext uri="{FF2B5EF4-FFF2-40B4-BE49-F238E27FC236}">
              <a16:creationId xmlns:a16="http://schemas.microsoft.com/office/drawing/2014/main" id="{00000000-0008-0000-0400-000005000000}"/>
            </a:ext>
          </a:extLst>
        </xdr:cNvPr>
        <xdr:cNvCxnSpPr/>
      </xdr:nvCxnSpPr>
      <xdr:spPr>
        <a:xfrm>
          <a:off x="13741854" y="1805664"/>
          <a:ext cx="0" cy="679323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606879</xdr:colOff>
      <xdr:row>1</xdr:row>
      <xdr:rowOff>8159</xdr:rowOff>
    </xdr:from>
    <xdr:to>
      <xdr:col>14</xdr:col>
      <xdr:colOff>606879</xdr:colOff>
      <xdr:row>6</xdr:row>
      <xdr:rowOff>189950</xdr:rowOff>
    </xdr:to>
    <xdr:cxnSp macro="">
      <xdr:nvCxnSpPr>
        <xdr:cNvPr id="6" name="Straight Connector 5">
          <a:extLst>
            <a:ext uri="{FF2B5EF4-FFF2-40B4-BE49-F238E27FC236}">
              <a16:creationId xmlns:a16="http://schemas.microsoft.com/office/drawing/2014/main" id="{00000000-0008-0000-0400-000006000000}"/>
            </a:ext>
          </a:extLst>
        </xdr:cNvPr>
        <xdr:cNvCxnSpPr/>
      </xdr:nvCxnSpPr>
      <xdr:spPr>
        <a:xfrm>
          <a:off x="1374185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26</xdr:row>
      <xdr:rowOff>180975</xdr:rowOff>
    </xdr:from>
    <xdr:to>
      <xdr:col>15</xdr:col>
      <xdr:colOff>45983</xdr:colOff>
      <xdr:row>26</xdr:row>
      <xdr:rowOff>180975</xdr:rowOff>
    </xdr:to>
    <xdr:cxnSp macro="">
      <xdr:nvCxnSpPr>
        <xdr:cNvPr id="7" name="Straight Connector 6">
          <a:extLst>
            <a:ext uri="{FF2B5EF4-FFF2-40B4-BE49-F238E27FC236}">
              <a16:creationId xmlns:a16="http://schemas.microsoft.com/office/drawing/2014/main" id="{00000000-0008-0000-0400-000007000000}"/>
            </a:ext>
          </a:extLst>
        </xdr:cNvPr>
        <xdr:cNvCxnSpPr/>
      </xdr:nvCxnSpPr>
      <xdr:spPr>
        <a:xfrm>
          <a:off x="390525" y="8610600"/>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2</xdr:rowOff>
    </xdr:from>
    <xdr:to>
      <xdr:col>2</xdr:col>
      <xdr:colOff>952500</xdr:colOff>
      <xdr:row>9</xdr:row>
      <xdr:rowOff>314325</xdr:rowOff>
    </xdr:to>
    <xdr:sp macro="" textlink="">
      <xdr:nvSpPr>
        <xdr:cNvPr id="8" name="Right Triangle 7">
          <a:extLst>
            <a:ext uri="{FF2B5EF4-FFF2-40B4-BE49-F238E27FC236}">
              <a16:creationId xmlns:a16="http://schemas.microsoft.com/office/drawing/2014/main" id="{00000000-0008-0000-0400-000008000000}"/>
            </a:ext>
          </a:extLst>
        </xdr:cNvPr>
        <xdr:cNvSpPr/>
      </xdr:nvSpPr>
      <xdr:spPr>
        <a:xfrm rot="5400000">
          <a:off x="-247649" y="247651"/>
          <a:ext cx="27050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9" name="Right Triangle 8">
          <a:extLst>
            <a:ext uri="{FF2B5EF4-FFF2-40B4-BE49-F238E27FC236}">
              <a16:creationId xmlns:a16="http://schemas.microsoft.com/office/drawing/2014/main" id="{00000000-0008-0000-0400-000009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389280</xdr:colOff>
      <xdr:row>1</xdr:row>
      <xdr:rowOff>8281</xdr:rowOff>
    </xdr:from>
    <xdr:to>
      <xdr:col>4</xdr:col>
      <xdr:colOff>105816</xdr:colOff>
      <xdr:row>7</xdr:row>
      <xdr:rowOff>0</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389280" y="617881"/>
          <a:ext cx="2459736" cy="1134719"/>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3</xdr:col>
      <xdr:colOff>152401</xdr:colOff>
      <xdr:row>5</xdr:row>
      <xdr:rowOff>77618</xdr:rowOff>
    </xdr:to>
    <xdr:pic>
      <xdr:nvPicPr>
        <xdr:cNvPr id="11" name="Graphic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12" name="Graphic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25</xdr:row>
      <xdr:rowOff>0</xdr:rowOff>
    </xdr:from>
    <xdr:to>
      <xdr:col>5</xdr:col>
      <xdr:colOff>306705</xdr:colOff>
      <xdr:row>25</xdr:row>
      <xdr:rowOff>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5049838" y="7096125"/>
          <a:ext cx="119380" cy="0"/>
          <a:chOff x="7772400" y="13287375"/>
          <a:chExt cx="304800" cy="304800"/>
        </a:xfrm>
      </xdr:grpSpPr>
      <xdr:sp macro="" textlink="">
        <xdr:nvSpPr>
          <xdr:cNvPr id="14" name="Oval 13">
            <a:extLst>
              <a:ext uri="{FF2B5EF4-FFF2-40B4-BE49-F238E27FC236}">
                <a16:creationId xmlns:a16="http://schemas.microsoft.com/office/drawing/2014/main" id="{00000000-0008-0000-0400-00000E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Graphic 14" descr="Information">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xdr:from>
      <xdr:col>1</xdr:col>
      <xdr:colOff>379475</xdr:colOff>
      <xdr:row>23</xdr:row>
      <xdr:rowOff>104775</xdr:rowOff>
    </xdr:from>
    <xdr:to>
      <xdr:col>2</xdr:col>
      <xdr:colOff>161924</xdr:colOff>
      <xdr:row>25</xdr:row>
      <xdr:rowOff>171450</xdr:rowOff>
    </xdr:to>
    <xdr:grpSp>
      <xdr:nvGrpSpPr>
        <xdr:cNvPr id="16" name="Group 15">
          <a:hlinkClick xmlns:r="http://schemas.openxmlformats.org/officeDocument/2006/relationships" r:id="rId7"/>
          <a:extLst>
            <a:ext uri="{FF2B5EF4-FFF2-40B4-BE49-F238E27FC236}">
              <a16:creationId xmlns:a16="http://schemas.microsoft.com/office/drawing/2014/main" id="{00000000-0008-0000-0400-000010000000}"/>
            </a:ext>
          </a:extLst>
        </xdr:cNvPr>
        <xdr:cNvGrpSpPr/>
      </xdr:nvGrpSpPr>
      <xdr:grpSpPr>
        <a:xfrm rot="10800000">
          <a:off x="784288" y="6614319"/>
          <a:ext cx="690499" cy="653256"/>
          <a:chOff x="6610350" y="7724775"/>
          <a:chExt cx="819150" cy="819150"/>
        </a:xfrm>
      </xdr:grpSpPr>
      <xdr:sp macro="" textlink="">
        <xdr:nvSpPr>
          <xdr:cNvPr id="17" name="Oval 16">
            <a:extLst>
              <a:ext uri="{FF2B5EF4-FFF2-40B4-BE49-F238E27FC236}">
                <a16:creationId xmlns:a16="http://schemas.microsoft.com/office/drawing/2014/main" id="{00000000-0008-0000-0400-00001100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 name="Graphic 17" descr="Line arrow Straight">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0800000">
            <a:off x="6781799" y="7924799"/>
            <a:ext cx="457200" cy="4572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19" name="Right Triangle 18">
          <a:extLst>
            <a:ext uri="{FF2B5EF4-FFF2-40B4-BE49-F238E27FC236}">
              <a16:creationId xmlns:a16="http://schemas.microsoft.com/office/drawing/2014/main" id="{00000000-0008-0000-0400-000013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21</xdr:row>
      <xdr:rowOff>152401</xdr:rowOff>
    </xdr:from>
    <xdr:to>
      <xdr:col>12</xdr:col>
      <xdr:colOff>1743075</xdr:colOff>
      <xdr:row>23</xdr:row>
      <xdr:rowOff>9525</xdr:rowOff>
    </xdr:to>
    <xdr:sp macro="" textlink="$L$12">
      <xdr:nvSpPr>
        <xdr:cNvPr id="43" name="TextBox 42">
          <a:extLst>
            <a:ext uri="{FF2B5EF4-FFF2-40B4-BE49-F238E27FC236}">
              <a16:creationId xmlns:a16="http://schemas.microsoft.com/office/drawing/2014/main" id="{00000000-0008-0000-0400-00002B000000}"/>
            </a:ext>
          </a:extLst>
        </xdr:cNvPr>
        <xdr:cNvSpPr txBox="1"/>
      </xdr:nvSpPr>
      <xdr:spPr>
        <a:xfrm>
          <a:off x="3162300" y="6838951"/>
          <a:ext cx="7153275" cy="63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B29A521-9C84-4CB6-AE97-A8BAEA745CC9}" type="TxLink">
            <a:rPr lang="en-US" sz="1200" b="0" i="1" u="none" strike="noStrike">
              <a:solidFill>
                <a:srgbClr val="17948C"/>
              </a:solidFill>
              <a:latin typeface="Calibri Light"/>
              <a:cs typeface="Calibri Light"/>
            </a:rPr>
            <a:pPr algn="ctr"/>
            <a:t> </a:t>
          </a:fld>
          <a:endParaRPr lang="en-US" sz="1200" i="1">
            <a:solidFill>
              <a:srgbClr val="17948C"/>
            </a:solidFill>
            <a:latin typeface="Calibri Light" panose="020F0302020204030204" pitchFamily="34" charset="0"/>
            <a:cs typeface="Calibri Light" panose="020F0302020204030204" pitchFamily="34" charset="0"/>
          </a:endParaRPr>
        </a:p>
      </xdr:txBody>
    </xdr:sp>
    <xdr:clientData/>
  </xdr:twoCellAnchor>
  <xdr:twoCellAnchor>
    <xdr:from>
      <xdr:col>1</xdr:col>
      <xdr:colOff>1</xdr:colOff>
      <xdr:row>7</xdr:row>
      <xdr:rowOff>0</xdr:rowOff>
    </xdr:from>
    <xdr:to>
      <xdr:col>1</xdr:col>
      <xdr:colOff>419100</xdr:colOff>
      <xdr:row>8</xdr:row>
      <xdr:rowOff>247650</xdr:rowOff>
    </xdr:to>
    <xdr:sp macro="" textlink="">
      <xdr:nvSpPr>
        <xdr:cNvPr id="54" name="Right Triangle 53">
          <a:extLst>
            <a:ext uri="{FF2B5EF4-FFF2-40B4-BE49-F238E27FC236}">
              <a16:creationId xmlns:a16="http://schemas.microsoft.com/office/drawing/2014/main" id="{00000000-0008-0000-0400-000036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533400</xdr:colOff>
      <xdr:row>7</xdr:row>
      <xdr:rowOff>180975</xdr:rowOff>
    </xdr:from>
    <xdr:to>
      <xdr:col>14</xdr:col>
      <xdr:colOff>323850</xdr:colOff>
      <xdr:row>15</xdr:row>
      <xdr:rowOff>28575</xdr:rowOff>
    </xdr:to>
    <xdr:sp macro="" textlink="">
      <xdr:nvSpPr>
        <xdr:cNvPr id="73" name="TextBox 72">
          <a:extLst>
            <a:ext uri="{FF2B5EF4-FFF2-40B4-BE49-F238E27FC236}">
              <a16:creationId xmlns:a16="http://schemas.microsoft.com/office/drawing/2014/main" id="{00000000-0008-0000-0400-000049000000}"/>
            </a:ext>
          </a:extLst>
        </xdr:cNvPr>
        <xdr:cNvSpPr txBox="1"/>
      </xdr:nvSpPr>
      <xdr:spPr>
        <a:xfrm>
          <a:off x="11753850" y="1990725"/>
          <a:ext cx="1704975" cy="217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solidFill>
                <a:srgbClr val="17948C"/>
              </a:solidFill>
              <a:latin typeface="+mj-lt"/>
              <a:cs typeface="Calibri Light" panose="020F0302020204030204" pitchFamily="34" charset="0"/>
            </a:rPr>
            <a:t>Please type in the contact</a:t>
          </a:r>
          <a:r>
            <a:rPr lang="en-US" sz="1200" i="1" baseline="0">
              <a:solidFill>
                <a:srgbClr val="17948C"/>
              </a:solidFill>
              <a:latin typeface="+mj-lt"/>
              <a:cs typeface="Calibri Light" panose="020F0302020204030204" pitchFamily="34" charset="0"/>
            </a:rPr>
            <a:t> persons that can be reached for consultation regarding their areas of expertise.</a:t>
          </a:r>
          <a:endParaRPr lang="en-US" sz="1200" i="1">
            <a:solidFill>
              <a:srgbClr val="17948C"/>
            </a:solidFill>
            <a:latin typeface="+mj-lt"/>
            <a:cs typeface="Calibri Light" panose="020F0302020204030204" pitchFamily="34" charset="0"/>
          </a:endParaRPr>
        </a:p>
      </xdr:txBody>
    </xdr:sp>
    <xdr:clientData/>
  </xdr:twoCellAnchor>
  <xdr:twoCellAnchor>
    <xdr:from>
      <xdr:col>13</xdr:col>
      <xdr:colOff>464344</xdr:colOff>
      <xdr:row>8</xdr:row>
      <xdr:rowOff>9526</xdr:rowOff>
    </xdr:from>
    <xdr:to>
      <xdr:col>13</xdr:col>
      <xdr:colOff>464344</xdr:colOff>
      <xdr:row>11</xdr:row>
      <xdr:rowOff>144781</xdr:rowOff>
    </xdr:to>
    <xdr:cxnSp macro="">
      <xdr:nvCxnSpPr>
        <xdr:cNvPr id="74" name="Straight Connector 73">
          <a:extLst>
            <a:ext uri="{FF2B5EF4-FFF2-40B4-BE49-F238E27FC236}">
              <a16:creationId xmlns:a16="http://schemas.microsoft.com/office/drawing/2014/main" id="{00000000-0008-0000-0400-00004A000000}"/>
            </a:ext>
          </a:extLst>
        </xdr:cNvPr>
        <xdr:cNvCxnSpPr/>
      </xdr:nvCxnSpPr>
      <xdr:spPr>
        <a:xfrm>
          <a:off x="11684794" y="1952626"/>
          <a:ext cx="0" cy="1097280"/>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238125</xdr:colOff>
      <xdr:row>8</xdr:row>
      <xdr:rowOff>114301</xdr:rowOff>
    </xdr:from>
    <xdr:to>
      <xdr:col>13</xdr:col>
      <xdr:colOff>421005</xdr:colOff>
      <xdr:row>8</xdr:row>
      <xdr:rowOff>297181</xdr:rowOff>
    </xdr:to>
    <xdr:pic>
      <xdr:nvPicPr>
        <xdr:cNvPr id="75" name="Graphic 74" descr="Information">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458575" y="2124076"/>
          <a:ext cx="182880" cy="182880"/>
        </a:xfrm>
        <a:prstGeom prst="rect">
          <a:avLst/>
        </a:prstGeom>
      </xdr:spPr>
    </xdr:pic>
    <xdr:clientData/>
  </xdr:twoCellAnchor>
  <xdr:twoCellAnchor editAs="absolute">
    <xdr:from>
      <xdr:col>1</xdr:col>
      <xdr:colOff>28575</xdr:colOff>
      <xdr:row>0</xdr:row>
      <xdr:rowOff>123825</xdr:rowOff>
    </xdr:from>
    <xdr:to>
      <xdr:col>1</xdr:col>
      <xdr:colOff>552450</xdr:colOff>
      <xdr:row>1</xdr:row>
      <xdr:rowOff>38100</xdr:rowOff>
    </xdr:to>
    <xdr:pic>
      <xdr:nvPicPr>
        <xdr:cNvPr id="77" name="Graphic 76" descr="Home">
          <a:hlinkClick xmlns:r="http://schemas.openxmlformats.org/officeDocument/2006/relationships" r:id="rId10"/>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19100" y="123825"/>
          <a:ext cx="523875" cy="523875"/>
        </a:xfrm>
        <a:prstGeom prst="rect">
          <a:avLst/>
        </a:prstGeom>
      </xdr:spPr>
    </xdr:pic>
    <xdr:clientData/>
  </xdr:twoCellAnchor>
  <xdr:twoCellAnchor>
    <xdr:from>
      <xdr:col>13</xdr:col>
      <xdr:colOff>1047750</xdr:colOff>
      <xdr:row>23</xdr:row>
      <xdr:rowOff>114300</xdr:rowOff>
    </xdr:from>
    <xdr:to>
      <xdr:col>14</xdr:col>
      <xdr:colOff>156069</xdr:colOff>
      <xdr:row>26</xdr:row>
      <xdr:rowOff>81717</xdr:rowOff>
    </xdr:to>
    <xdr:grpSp>
      <xdr:nvGrpSpPr>
        <xdr:cNvPr id="78" name="Group 77">
          <a:hlinkClick xmlns:r="http://schemas.openxmlformats.org/officeDocument/2006/relationships" r:id="rId13"/>
          <a:extLst>
            <a:ext uri="{FF2B5EF4-FFF2-40B4-BE49-F238E27FC236}">
              <a16:creationId xmlns:a16="http://schemas.microsoft.com/office/drawing/2014/main" id="{00000000-0008-0000-0400-00004E000000}"/>
            </a:ext>
          </a:extLst>
        </xdr:cNvPr>
        <xdr:cNvGrpSpPr/>
      </xdr:nvGrpSpPr>
      <xdr:grpSpPr>
        <a:xfrm>
          <a:off x="12787313" y="6627019"/>
          <a:ext cx="1099837" cy="934998"/>
          <a:chOff x="7753549" y="790575"/>
          <a:chExt cx="1022844" cy="929360"/>
        </a:xfrm>
      </xdr:grpSpPr>
      <xdr:grpSp>
        <xdr:nvGrpSpPr>
          <xdr:cNvPr id="79" name="Group 78">
            <a:extLst>
              <a:ext uri="{FF2B5EF4-FFF2-40B4-BE49-F238E27FC236}">
                <a16:creationId xmlns:a16="http://schemas.microsoft.com/office/drawing/2014/main" id="{00000000-0008-0000-0400-00004F000000}"/>
              </a:ext>
            </a:extLst>
          </xdr:cNvPr>
          <xdr:cNvGrpSpPr/>
        </xdr:nvGrpSpPr>
        <xdr:grpSpPr>
          <a:xfrm>
            <a:off x="7753549" y="790575"/>
            <a:ext cx="1022844" cy="929360"/>
            <a:chOff x="5000625" y="857249"/>
            <a:chExt cx="1022844" cy="929360"/>
          </a:xfrm>
        </xdr:grpSpPr>
        <xdr:sp macro="" textlink="">
          <xdr:nvSpPr>
            <xdr:cNvPr id="81" name="Oval 80">
              <a:extLst>
                <a:ext uri="{FF2B5EF4-FFF2-40B4-BE49-F238E27FC236}">
                  <a16:creationId xmlns:a16="http://schemas.microsoft.com/office/drawing/2014/main" id="{00000000-0008-0000-0400-000051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2" name="TextBox 81">
              <a:extLst>
                <a:ext uri="{FF2B5EF4-FFF2-40B4-BE49-F238E27FC236}">
                  <a16:creationId xmlns:a16="http://schemas.microsoft.com/office/drawing/2014/main" id="{00000000-0008-0000-0400-000052000000}"/>
                </a:ext>
              </a:extLst>
            </xdr:cNvPr>
            <xdr:cNvSpPr txBox="1"/>
          </xdr:nvSpPr>
          <xdr:spPr>
            <a:xfrm>
              <a:off x="5000625" y="1514475"/>
              <a:ext cx="1022844" cy="272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80" name="Graphic 79" descr="Bar chart">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055750" y="912000"/>
            <a:ext cx="411480" cy="411480"/>
          </a:xfrm>
          <a:prstGeom prst="rect">
            <a:avLst/>
          </a:prstGeom>
        </xdr:spPr>
      </xdr:pic>
    </xdr:grpSp>
    <xdr:clientData/>
  </xdr:twoCellAnchor>
  <xdr:twoCellAnchor editAs="absolute">
    <xdr:from>
      <xdr:col>4</xdr:col>
      <xdr:colOff>1759499</xdr:colOff>
      <xdr:row>3</xdr:row>
      <xdr:rowOff>128587</xdr:rowOff>
    </xdr:from>
    <xdr:to>
      <xdr:col>13</xdr:col>
      <xdr:colOff>23581</xdr:colOff>
      <xdr:row>3</xdr:row>
      <xdr:rowOff>128587</xdr:rowOff>
    </xdr:to>
    <xdr:cxnSp macro="">
      <xdr:nvCxnSpPr>
        <xdr:cNvPr id="53" name="Straight Connector 52">
          <a:extLst>
            <a:ext uri="{FF2B5EF4-FFF2-40B4-BE49-F238E27FC236}">
              <a16:creationId xmlns:a16="http://schemas.microsoft.com/office/drawing/2014/main" id="{00000000-0008-0000-0400-000035000000}"/>
            </a:ext>
          </a:extLst>
        </xdr:cNvPr>
        <xdr:cNvCxnSpPr>
          <a:cxnSpLocks/>
          <a:stCxn id="57" idx="2"/>
          <a:endCxn id="69" idx="6"/>
        </xdr:cNvCxnSpPr>
      </xdr:nvCxnSpPr>
      <xdr:spPr>
        <a:xfrm>
          <a:off x="4509843" y="1116806"/>
          <a:ext cx="6729426" cy="0"/>
        </a:xfrm>
        <a:prstGeom prst="line">
          <a:avLst/>
        </a:prstGeom>
        <a:ln w="28575">
          <a:solidFill>
            <a:srgbClr val="17948C"/>
          </a:solidFill>
        </a:ln>
      </xdr:spPr>
      <xdr:style>
        <a:lnRef idx="2">
          <a:schemeClr val="accent2"/>
        </a:lnRef>
        <a:fillRef idx="0">
          <a:schemeClr val="accent2"/>
        </a:fillRef>
        <a:effectRef idx="1">
          <a:schemeClr val="accent2"/>
        </a:effectRef>
        <a:fontRef idx="minor">
          <a:schemeClr val="tx1"/>
        </a:fontRef>
      </xdr:style>
    </xdr:cxnSp>
    <xdr:clientData/>
  </xdr:twoCellAnchor>
  <xdr:twoCellAnchor editAs="absolute">
    <xdr:from>
      <xdr:col>4</xdr:col>
      <xdr:colOff>1578427</xdr:colOff>
      <xdr:row>1</xdr:row>
      <xdr:rowOff>190499</xdr:rowOff>
    </xdr:from>
    <xdr:to>
      <xdr:col>6</xdr:col>
      <xdr:colOff>395677</xdr:colOff>
      <xdr:row>6</xdr:row>
      <xdr:rowOff>164594</xdr:rowOff>
    </xdr:to>
    <xdr:grpSp>
      <xdr:nvGrpSpPr>
        <xdr:cNvPr id="56" name="Group 55">
          <a:hlinkClick xmlns:r="http://schemas.openxmlformats.org/officeDocument/2006/relationships" r:id="rId16"/>
          <a:extLst>
            <a:ext uri="{FF2B5EF4-FFF2-40B4-BE49-F238E27FC236}">
              <a16:creationId xmlns:a16="http://schemas.microsoft.com/office/drawing/2014/main" id="{00000000-0008-0000-0400-000038000000}"/>
            </a:ext>
          </a:extLst>
        </xdr:cNvPr>
        <xdr:cNvGrpSpPr/>
      </xdr:nvGrpSpPr>
      <xdr:grpSpPr>
        <a:xfrm>
          <a:off x="4447833" y="797718"/>
          <a:ext cx="1111982" cy="982951"/>
          <a:chOff x="3305175" y="857249"/>
          <a:chExt cx="954428" cy="926595"/>
        </a:xfrm>
      </xdr:grpSpPr>
      <xdr:sp macro="" textlink="">
        <xdr:nvSpPr>
          <xdr:cNvPr id="57" name="Oval 56">
            <a:extLst>
              <a:ext uri="{FF2B5EF4-FFF2-40B4-BE49-F238E27FC236}">
                <a16:creationId xmlns:a16="http://schemas.microsoft.com/office/drawing/2014/main" id="{00000000-0008-0000-0400-000039000000}"/>
              </a:ext>
            </a:extLst>
          </xdr:cNvPr>
          <xdr:cNvSpPr/>
        </xdr:nvSpPr>
        <xdr:spPr>
          <a:xfrm>
            <a:off x="34766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58" name="TextBox 57">
            <a:extLst>
              <a:ext uri="{FF2B5EF4-FFF2-40B4-BE49-F238E27FC236}">
                <a16:creationId xmlns:a16="http://schemas.microsoft.com/office/drawing/2014/main" id="{00000000-0008-0000-0400-00003A000000}"/>
              </a:ext>
            </a:extLst>
          </xdr:cNvPr>
          <xdr:cNvSpPr txBox="1"/>
        </xdr:nvSpPr>
        <xdr:spPr>
          <a:xfrm>
            <a:off x="3305175" y="1514475"/>
            <a:ext cx="954428"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Description</a:t>
            </a:r>
          </a:p>
        </xdr:txBody>
      </xdr:sp>
      <xdr:pic>
        <xdr:nvPicPr>
          <xdr:cNvPr id="59" name="Graphic 58" descr="Document">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590926" y="962026"/>
            <a:ext cx="416774" cy="416774"/>
          </a:xfrm>
          <a:prstGeom prst="rect">
            <a:avLst/>
          </a:prstGeom>
        </xdr:spPr>
      </xdr:pic>
    </xdr:grpSp>
    <xdr:clientData/>
  </xdr:twoCellAnchor>
  <xdr:twoCellAnchor editAs="absolute">
    <xdr:from>
      <xdr:col>10</xdr:col>
      <xdr:colOff>376335</xdr:colOff>
      <xdr:row>1</xdr:row>
      <xdr:rowOff>190499</xdr:rowOff>
    </xdr:from>
    <xdr:to>
      <xdr:col>11</xdr:col>
      <xdr:colOff>155179</xdr:colOff>
      <xdr:row>6</xdr:row>
      <xdr:rowOff>164594</xdr:rowOff>
    </xdr:to>
    <xdr:grpSp>
      <xdr:nvGrpSpPr>
        <xdr:cNvPr id="60" name="Group 59">
          <a:hlinkClick xmlns:r="http://schemas.openxmlformats.org/officeDocument/2006/relationships" r:id="rId7"/>
          <a:extLst>
            <a:ext uri="{FF2B5EF4-FFF2-40B4-BE49-F238E27FC236}">
              <a16:creationId xmlns:a16="http://schemas.microsoft.com/office/drawing/2014/main" id="{00000000-0008-0000-0400-00003C000000}"/>
            </a:ext>
          </a:extLst>
        </xdr:cNvPr>
        <xdr:cNvGrpSpPr/>
      </xdr:nvGrpSpPr>
      <xdr:grpSpPr>
        <a:xfrm>
          <a:off x="8945660" y="797718"/>
          <a:ext cx="686894" cy="982951"/>
          <a:chOff x="6686549" y="857249"/>
          <a:chExt cx="638175" cy="926595"/>
        </a:xfrm>
      </xdr:grpSpPr>
      <xdr:sp macro="" textlink="">
        <xdr:nvSpPr>
          <xdr:cNvPr id="61" name="Oval 60">
            <a:extLst>
              <a:ext uri="{FF2B5EF4-FFF2-40B4-BE49-F238E27FC236}">
                <a16:creationId xmlns:a16="http://schemas.microsoft.com/office/drawing/2014/main" id="{00000000-0008-0000-0400-00003D000000}"/>
              </a:ext>
            </a:extLst>
          </xdr:cNvPr>
          <xdr:cNvSpPr/>
        </xdr:nvSpPr>
        <xdr:spPr>
          <a:xfrm>
            <a:off x="6686549"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62" name="TextBox 61">
            <a:extLst>
              <a:ext uri="{FF2B5EF4-FFF2-40B4-BE49-F238E27FC236}">
                <a16:creationId xmlns:a16="http://schemas.microsoft.com/office/drawing/2014/main" id="{00000000-0008-0000-0400-00003E000000}"/>
              </a:ext>
            </a:extLst>
          </xdr:cNvPr>
          <xdr:cNvSpPr txBox="1"/>
        </xdr:nvSpPr>
        <xdr:spPr>
          <a:xfrm>
            <a:off x="6724650" y="1514475"/>
            <a:ext cx="578043"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Costs</a:t>
            </a:r>
          </a:p>
        </xdr:txBody>
      </xdr:sp>
      <xdr:pic>
        <xdr:nvPicPr>
          <xdr:cNvPr id="63" name="Graphic 62" descr="Money">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6798451" y="950101"/>
            <a:ext cx="416774" cy="416774"/>
          </a:xfrm>
          <a:prstGeom prst="rect">
            <a:avLst/>
          </a:prstGeom>
        </xdr:spPr>
      </xdr:pic>
    </xdr:grpSp>
    <xdr:clientData/>
  </xdr:twoCellAnchor>
  <xdr:twoCellAnchor editAs="absolute">
    <xdr:from>
      <xdr:col>8</xdr:col>
      <xdr:colOff>647896</xdr:colOff>
      <xdr:row>1</xdr:row>
      <xdr:rowOff>190499</xdr:rowOff>
    </xdr:from>
    <xdr:to>
      <xdr:col>8</xdr:col>
      <xdr:colOff>1331896</xdr:colOff>
      <xdr:row>6</xdr:row>
      <xdr:rowOff>164594</xdr:rowOff>
    </xdr:to>
    <xdr:grpSp>
      <xdr:nvGrpSpPr>
        <xdr:cNvPr id="64" name="Group 63">
          <a:hlinkClick xmlns:r="http://schemas.openxmlformats.org/officeDocument/2006/relationships" r:id="rId21"/>
          <a:extLst>
            <a:ext uri="{FF2B5EF4-FFF2-40B4-BE49-F238E27FC236}">
              <a16:creationId xmlns:a16="http://schemas.microsoft.com/office/drawing/2014/main" id="{00000000-0008-0000-0400-000040000000}"/>
            </a:ext>
          </a:extLst>
        </xdr:cNvPr>
        <xdr:cNvGrpSpPr/>
      </xdr:nvGrpSpPr>
      <xdr:grpSpPr>
        <a:xfrm>
          <a:off x="6922490" y="797718"/>
          <a:ext cx="684000" cy="982951"/>
          <a:chOff x="5153024" y="857249"/>
          <a:chExt cx="638175" cy="926595"/>
        </a:xfrm>
      </xdr:grpSpPr>
      <xdr:sp macro="" textlink="">
        <xdr:nvSpPr>
          <xdr:cNvPr id="65" name="Oval 64">
            <a:extLst>
              <a:ext uri="{FF2B5EF4-FFF2-40B4-BE49-F238E27FC236}">
                <a16:creationId xmlns:a16="http://schemas.microsoft.com/office/drawing/2014/main" id="{00000000-0008-0000-0400-000041000000}"/>
              </a:ext>
            </a:extLst>
          </xdr:cNvPr>
          <xdr:cNvSpPr/>
        </xdr:nvSpPr>
        <xdr:spPr>
          <a:xfrm>
            <a:off x="51530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66" name="TextBox 65">
            <a:extLst>
              <a:ext uri="{FF2B5EF4-FFF2-40B4-BE49-F238E27FC236}">
                <a16:creationId xmlns:a16="http://schemas.microsoft.com/office/drawing/2014/main" id="{00000000-0008-0000-0400-000042000000}"/>
              </a:ext>
            </a:extLst>
          </xdr:cNvPr>
          <xdr:cNvSpPr txBox="1"/>
        </xdr:nvSpPr>
        <xdr:spPr>
          <a:xfrm>
            <a:off x="5181600" y="1514475"/>
            <a:ext cx="5783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Value</a:t>
            </a:r>
          </a:p>
        </xdr:txBody>
      </xdr:sp>
      <xdr:pic>
        <xdr:nvPicPr>
          <xdr:cNvPr id="67" name="Graphic 66" descr="Diamond">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5272051" y="995326"/>
            <a:ext cx="416774" cy="416774"/>
          </a:xfrm>
          <a:prstGeom prst="rect">
            <a:avLst/>
          </a:prstGeom>
        </xdr:spPr>
      </xdr:pic>
    </xdr:grpSp>
    <xdr:clientData/>
  </xdr:twoCellAnchor>
  <xdr:twoCellAnchor editAs="absolute">
    <xdr:from>
      <xdr:col>12</xdr:col>
      <xdr:colOff>1219199</xdr:colOff>
      <xdr:row>1</xdr:row>
      <xdr:rowOff>190499</xdr:rowOff>
    </xdr:from>
    <xdr:to>
      <xdr:col>13</xdr:col>
      <xdr:colOff>118667</xdr:colOff>
      <xdr:row>6</xdr:row>
      <xdr:rowOff>164594</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10898980" y="797718"/>
          <a:ext cx="962425" cy="982951"/>
          <a:chOff x="8181975" y="857249"/>
          <a:chExt cx="792012" cy="926595"/>
        </a:xfrm>
      </xdr:grpSpPr>
      <xdr:sp macro="" textlink="">
        <xdr:nvSpPr>
          <xdr:cNvPr id="69" name="Oval 68">
            <a:extLst>
              <a:ext uri="{FF2B5EF4-FFF2-40B4-BE49-F238E27FC236}">
                <a16:creationId xmlns:a16="http://schemas.microsoft.com/office/drawing/2014/main" id="{00000000-0008-0000-0400-000045000000}"/>
              </a:ext>
            </a:extLst>
          </xdr:cNvPr>
          <xdr:cNvSpPr/>
        </xdr:nvSpPr>
        <xdr:spPr>
          <a:xfrm>
            <a:off x="8248649"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70" name="TextBox 69">
            <a:extLst>
              <a:ext uri="{FF2B5EF4-FFF2-40B4-BE49-F238E27FC236}">
                <a16:creationId xmlns:a16="http://schemas.microsoft.com/office/drawing/2014/main" id="{00000000-0008-0000-0400-000046000000}"/>
              </a:ext>
            </a:extLst>
          </xdr:cNvPr>
          <xdr:cNvSpPr txBox="1"/>
        </xdr:nvSpPr>
        <xdr:spPr>
          <a:xfrm>
            <a:off x="8181975" y="1514475"/>
            <a:ext cx="79201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Contacts</a:t>
            </a:r>
          </a:p>
        </xdr:txBody>
      </xdr:sp>
      <xdr:pic>
        <xdr:nvPicPr>
          <xdr:cNvPr id="71" name="Graphic 70" descr="Target Audience">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8365276" y="973876"/>
            <a:ext cx="416774" cy="416774"/>
          </a:xfrm>
          <a:prstGeom prst="rect">
            <a:avLst/>
          </a:prstGeom>
        </xdr:spPr>
      </xdr:pic>
    </xdr:grpSp>
    <xdr:clientData/>
  </xdr:twoCellAnchor>
  <xdr:twoCellAnchor editAs="absolute">
    <xdr:from>
      <xdr:col>12</xdr:col>
      <xdr:colOff>1506529</xdr:colOff>
      <xdr:row>0</xdr:row>
      <xdr:rowOff>576846</xdr:rowOff>
    </xdr:from>
    <xdr:to>
      <xdr:col>12</xdr:col>
      <xdr:colOff>1689409</xdr:colOff>
      <xdr:row>1</xdr:row>
      <xdr:rowOff>150822</xdr:rowOff>
    </xdr:to>
    <xdr:pic>
      <xdr:nvPicPr>
        <xdr:cNvPr id="72" name="Graphic 71" descr="Play">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rot="5400000">
          <a:off x="10764481" y="577194"/>
          <a:ext cx="183576" cy="182880"/>
        </a:xfrm>
        <a:prstGeom prst="rect">
          <a:avLst/>
        </a:prstGeom>
      </xdr:spPr>
    </xdr:pic>
    <xdr:clientData/>
  </xdr:twoCellAnchor>
  <xdr:twoCellAnchor editAs="absolute">
    <xdr:from>
      <xdr:col>13</xdr:col>
      <xdr:colOff>1543049</xdr:colOff>
      <xdr:row>0</xdr:row>
      <xdr:rowOff>371475</xdr:rowOff>
    </xdr:from>
    <xdr:to>
      <xdr:col>15</xdr:col>
      <xdr:colOff>38100</xdr:colOff>
      <xdr:row>1</xdr:row>
      <xdr:rowOff>43115</xdr:rowOff>
    </xdr:to>
    <xdr:grpSp>
      <xdr:nvGrpSpPr>
        <xdr:cNvPr id="76" name="Group 75">
          <a:hlinkClick xmlns:r="http://schemas.openxmlformats.org/officeDocument/2006/relationships" r:id="rId28"/>
          <a:extLst>
            <a:ext uri="{FF2B5EF4-FFF2-40B4-BE49-F238E27FC236}">
              <a16:creationId xmlns:a16="http://schemas.microsoft.com/office/drawing/2014/main" id="{00000000-0008-0000-0400-00004C000000}"/>
            </a:ext>
          </a:extLst>
        </xdr:cNvPr>
        <xdr:cNvGrpSpPr/>
      </xdr:nvGrpSpPr>
      <xdr:grpSpPr>
        <a:xfrm>
          <a:off x="13282612" y="368300"/>
          <a:ext cx="1126332" cy="285209"/>
          <a:chOff x="12792075" y="371475"/>
          <a:chExt cx="1019176" cy="281240"/>
        </a:xfrm>
      </xdr:grpSpPr>
      <xdr:pic>
        <xdr:nvPicPr>
          <xdr:cNvPr id="83" name="Graphic 82" descr="Link">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2792075" y="419100"/>
            <a:ext cx="182880" cy="182880"/>
          </a:xfrm>
          <a:prstGeom prst="rect">
            <a:avLst/>
          </a:prstGeom>
        </xdr:spPr>
      </xdr:pic>
      <xdr:sp macro="" textlink="">
        <xdr:nvSpPr>
          <xdr:cNvPr id="84" name="TextBox 83">
            <a:extLst>
              <a:ext uri="{FF2B5EF4-FFF2-40B4-BE49-F238E27FC236}">
                <a16:creationId xmlns:a16="http://schemas.microsoft.com/office/drawing/2014/main" id="{00000000-0008-0000-0400-000054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absolute">
    <xdr:from>
      <xdr:col>4</xdr:col>
      <xdr:colOff>0</xdr:colOff>
      <xdr:row>0</xdr:row>
      <xdr:rowOff>333375</xdr:rowOff>
    </xdr:from>
    <xdr:to>
      <xdr:col>4</xdr:col>
      <xdr:colOff>742950</xdr:colOff>
      <xdr:row>1</xdr:row>
      <xdr:rowOff>38100</xdr:rowOff>
    </xdr:to>
    <xdr:sp macro="" textlink="">
      <xdr:nvSpPr>
        <xdr:cNvPr id="85" name="TextBox 84">
          <a:extLst>
            <a:ext uri="{FF2B5EF4-FFF2-40B4-BE49-F238E27FC236}">
              <a16:creationId xmlns:a16="http://schemas.microsoft.com/office/drawing/2014/main" id="{00000000-0008-0000-0400-000055000000}"/>
            </a:ext>
          </a:extLst>
        </xdr:cNvPr>
        <xdr:cNvSpPr txBox="1"/>
      </xdr:nvSpPr>
      <xdr:spPr>
        <a:xfrm>
          <a:off x="2743200" y="333375"/>
          <a:ext cx="7429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4</xdr:col>
      <xdr:colOff>533399</xdr:colOff>
      <xdr:row>0</xdr:row>
      <xdr:rowOff>333375</xdr:rowOff>
    </xdr:from>
    <xdr:to>
      <xdr:col>6</xdr:col>
      <xdr:colOff>857250</xdr:colOff>
      <xdr:row>1</xdr:row>
      <xdr:rowOff>38100</xdr:rowOff>
    </xdr:to>
    <xdr:sp macro="" textlink="'1-Description'!E31">
      <xdr:nvSpPr>
        <xdr:cNvPr id="86" name="TextBox 85">
          <a:extLst>
            <a:ext uri="{FF2B5EF4-FFF2-40B4-BE49-F238E27FC236}">
              <a16:creationId xmlns:a16="http://schemas.microsoft.com/office/drawing/2014/main" id="{00000000-0008-0000-0400-000056000000}"/>
            </a:ext>
          </a:extLst>
        </xdr:cNvPr>
        <xdr:cNvSpPr txBox="1"/>
      </xdr:nvSpPr>
      <xdr:spPr>
        <a:xfrm>
          <a:off x="3276599" y="333375"/>
          <a:ext cx="25241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Post-MVP/Pre-depl. assessment</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twoCellAnchor editAs="absolute">
    <xdr:from>
      <xdr:col>13</xdr:col>
      <xdr:colOff>1485899</xdr:colOff>
      <xdr:row>2</xdr:row>
      <xdr:rowOff>9525</xdr:rowOff>
    </xdr:from>
    <xdr:to>
      <xdr:col>14</xdr:col>
      <xdr:colOff>594218</xdr:colOff>
      <xdr:row>6</xdr:row>
      <xdr:rowOff>174120</xdr:rowOff>
    </xdr:to>
    <xdr:grpSp>
      <xdr:nvGrpSpPr>
        <xdr:cNvPr id="87" name="Group 86">
          <a:hlinkClick xmlns:r="http://schemas.openxmlformats.org/officeDocument/2006/relationships" r:id="rId13"/>
          <a:extLst>
            <a:ext uri="{FF2B5EF4-FFF2-40B4-BE49-F238E27FC236}">
              <a16:creationId xmlns:a16="http://schemas.microsoft.com/office/drawing/2014/main" id="{00000000-0008-0000-0400-000057000000}"/>
            </a:ext>
          </a:extLst>
        </xdr:cNvPr>
        <xdr:cNvGrpSpPr/>
      </xdr:nvGrpSpPr>
      <xdr:grpSpPr>
        <a:xfrm>
          <a:off x="13225462" y="815975"/>
          <a:ext cx="1099837" cy="977395"/>
          <a:chOff x="7772599" y="790575"/>
          <a:chExt cx="1022844" cy="926595"/>
        </a:xfrm>
      </xdr:grpSpPr>
      <xdr:grpSp>
        <xdr:nvGrpSpPr>
          <xdr:cNvPr id="88" name="Group 87">
            <a:extLst>
              <a:ext uri="{FF2B5EF4-FFF2-40B4-BE49-F238E27FC236}">
                <a16:creationId xmlns:a16="http://schemas.microsoft.com/office/drawing/2014/main" id="{00000000-0008-0000-0400-000058000000}"/>
              </a:ext>
            </a:extLst>
          </xdr:cNvPr>
          <xdr:cNvGrpSpPr/>
        </xdr:nvGrpSpPr>
        <xdr:grpSpPr>
          <a:xfrm>
            <a:off x="7772599" y="790575"/>
            <a:ext cx="1022844" cy="926595"/>
            <a:chOff x="5019675" y="857249"/>
            <a:chExt cx="1022844" cy="926595"/>
          </a:xfrm>
        </xdr:grpSpPr>
        <xdr:sp macro="" textlink="">
          <xdr:nvSpPr>
            <xdr:cNvPr id="90" name="Oval 89">
              <a:extLst>
                <a:ext uri="{FF2B5EF4-FFF2-40B4-BE49-F238E27FC236}">
                  <a16:creationId xmlns:a16="http://schemas.microsoft.com/office/drawing/2014/main" id="{00000000-0008-0000-0400-00005A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019675"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89" name="Graphic 88" descr="Bar chart">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055750" y="912000"/>
            <a:ext cx="411480" cy="41148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309562</xdr:colOff>
      <xdr:row>18</xdr:row>
      <xdr:rowOff>104775</xdr:rowOff>
    </xdr:from>
    <xdr:to>
      <xdr:col>10</xdr:col>
      <xdr:colOff>561825</xdr:colOff>
      <xdr:row>39</xdr:row>
      <xdr:rowOff>76200</xdr:rowOff>
    </xdr:to>
    <xdr:sp macro="" textlink="">
      <xdr:nvSpPr>
        <xdr:cNvPr id="16" name="Rectangle 15">
          <a:extLst>
            <a:ext uri="{FF2B5EF4-FFF2-40B4-BE49-F238E27FC236}">
              <a16:creationId xmlns:a16="http://schemas.microsoft.com/office/drawing/2014/main" id="{00000000-0008-0000-0500-000010000000}"/>
            </a:ext>
          </a:extLst>
        </xdr:cNvPr>
        <xdr:cNvSpPr/>
      </xdr:nvSpPr>
      <xdr:spPr>
        <a:xfrm>
          <a:off x="309562" y="4033838"/>
          <a:ext cx="13384857" cy="4376737"/>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10</xdr:col>
      <xdr:colOff>606879</xdr:colOff>
      <xdr:row>6</xdr:row>
      <xdr:rowOff>195939</xdr:rowOff>
    </xdr:from>
    <xdr:to>
      <xdr:col>10</xdr:col>
      <xdr:colOff>606879</xdr:colOff>
      <xdr:row>84</xdr:row>
      <xdr:rowOff>0</xdr:rowOff>
    </xdr:to>
    <xdr:cxnSp macro="">
      <xdr:nvCxnSpPr>
        <xdr:cNvPr id="2" name="Straight Connector 1">
          <a:extLst>
            <a:ext uri="{FF2B5EF4-FFF2-40B4-BE49-F238E27FC236}">
              <a16:creationId xmlns:a16="http://schemas.microsoft.com/office/drawing/2014/main" id="{00000000-0008-0000-0500-000002000000}"/>
            </a:ext>
          </a:extLst>
        </xdr:cNvPr>
        <xdr:cNvCxnSpPr/>
      </xdr:nvCxnSpPr>
      <xdr:spPr>
        <a:xfrm>
          <a:off x="13741854" y="1805664"/>
          <a:ext cx="0" cy="8281311"/>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606879</xdr:colOff>
      <xdr:row>1</xdr:row>
      <xdr:rowOff>8159</xdr:rowOff>
    </xdr:from>
    <xdr:to>
      <xdr:col>10</xdr:col>
      <xdr:colOff>606879</xdr:colOff>
      <xdr:row>6</xdr:row>
      <xdr:rowOff>189950</xdr:rowOff>
    </xdr:to>
    <xdr:cxnSp macro="">
      <xdr:nvCxnSpPr>
        <xdr:cNvPr id="3" name="Straight Connector 2">
          <a:extLst>
            <a:ext uri="{FF2B5EF4-FFF2-40B4-BE49-F238E27FC236}">
              <a16:creationId xmlns:a16="http://schemas.microsoft.com/office/drawing/2014/main" id="{00000000-0008-0000-0500-000003000000}"/>
            </a:ext>
          </a:extLst>
        </xdr:cNvPr>
        <xdr:cNvCxnSpPr/>
      </xdr:nvCxnSpPr>
      <xdr:spPr>
        <a:xfrm>
          <a:off x="1374185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83</xdr:row>
      <xdr:rowOff>133350</xdr:rowOff>
    </xdr:from>
    <xdr:to>
      <xdr:col>11</xdr:col>
      <xdr:colOff>45983</xdr:colOff>
      <xdr:row>83</xdr:row>
      <xdr:rowOff>133350</xdr:rowOff>
    </xdr:to>
    <xdr:cxnSp macro="">
      <xdr:nvCxnSpPr>
        <xdr:cNvPr id="4" name="Straight Connector 3">
          <a:extLst>
            <a:ext uri="{FF2B5EF4-FFF2-40B4-BE49-F238E27FC236}">
              <a16:creationId xmlns:a16="http://schemas.microsoft.com/office/drawing/2014/main" id="{00000000-0008-0000-0500-000004000000}"/>
            </a:ext>
          </a:extLst>
        </xdr:cNvPr>
        <xdr:cNvCxnSpPr/>
      </xdr:nvCxnSpPr>
      <xdr:spPr>
        <a:xfrm>
          <a:off x="390525" y="10029825"/>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2</xdr:col>
      <xdr:colOff>952500</xdr:colOff>
      <xdr:row>10</xdr:row>
      <xdr:rowOff>152400</xdr:rowOff>
    </xdr:to>
    <xdr:sp macro="" textlink="">
      <xdr:nvSpPr>
        <xdr:cNvPr id="5" name="Right Triangle 4">
          <a:extLst>
            <a:ext uri="{FF2B5EF4-FFF2-40B4-BE49-F238E27FC236}">
              <a16:creationId xmlns:a16="http://schemas.microsoft.com/office/drawing/2014/main" id="{00000000-0008-0000-0500-000005000000}"/>
            </a:ext>
          </a:extLst>
        </xdr:cNvPr>
        <xdr:cNvSpPr/>
      </xdr:nvSpPr>
      <xdr:spPr>
        <a:xfrm rot="5400000">
          <a:off x="-271462" y="271462"/>
          <a:ext cx="2743200" cy="2200275"/>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389281</xdr:colOff>
      <xdr:row>7</xdr:row>
      <xdr:rowOff>3312</xdr:rowOff>
    </xdr:from>
    <xdr:to>
      <xdr:col>2</xdr:col>
      <xdr:colOff>13250</xdr:colOff>
      <xdr:row>11</xdr:row>
      <xdr:rowOff>19878</xdr:rowOff>
    </xdr:to>
    <xdr:sp macro="" textlink="">
      <xdr:nvSpPr>
        <xdr:cNvPr id="6" name="Rectangle 5">
          <a:extLst>
            <a:ext uri="{FF2B5EF4-FFF2-40B4-BE49-F238E27FC236}">
              <a16:creationId xmlns:a16="http://schemas.microsoft.com/office/drawing/2014/main" id="{00000000-0008-0000-0500-000006000000}"/>
            </a:ext>
          </a:extLst>
        </xdr:cNvPr>
        <xdr:cNvSpPr/>
      </xdr:nvSpPr>
      <xdr:spPr>
        <a:xfrm>
          <a:off x="389281" y="1813062"/>
          <a:ext cx="871744" cy="81666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7" name="Right Triangle 6">
          <a:extLst>
            <a:ext uri="{FF2B5EF4-FFF2-40B4-BE49-F238E27FC236}">
              <a16:creationId xmlns:a16="http://schemas.microsoft.com/office/drawing/2014/main" id="{00000000-0008-0000-0500-000007000000}"/>
            </a:ext>
          </a:extLst>
        </xdr:cNvPr>
        <xdr:cNvSpPr/>
      </xdr:nvSpPr>
      <xdr:spPr>
        <a:xfrm rot="5400000">
          <a:off x="-186266" y="186266"/>
          <a:ext cx="1866900" cy="1494367"/>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389281</xdr:colOff>
      <xdr:row>1</xdr:row>
      <xdr:rowOff>8281</xdr:rowOff>
    </xdr:from>
    <xdr:to>
      <xdr:col>4</xdr:col>
      <xdr:colOff>115342</xdr:colOff>
      <xdr:row>6</xdr:row>
      <xdr:rowOff>189257</xdr:rowOff>
    </xdr:to>
    <xdr:sp macro="" textlink="">
      <xdr:nvSpPr>
        <xdr:cNvPr id="8" name="Rectangle 7">
          <a:extLst>
            <a:ext uri="{FF2B5EF4-FFF2-40B4-BE49-F238E27FC236}">
              <a16:creationId xmlns:a16="http://schemas.microsoft.com/office/drawing/2014/main" id="{00000000-0008-0000-0500-000008000000}"/>
            </a:ext>
          </a:extLst>
        </xdr:cNvPr>
        <xdr:cNvSpPr/>
      </xdr:nvSpPr>
      <xdr:spPr>
        <a:xfrm>
          <a:off x="389281" y="615500"/>
          <a:ext cx="2464499" cy="1133476"/>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3</xdr:col>
      <xdr:colOff>161926</xdr:colOff>
      <xdr:row>5</xdr:row>
      <xdr:rowOff>77618</xdr:rowOff>
    </xdr:to>
    <xdr:pic>
      <xdr:nvPicPr>
        <xdr:cNvPr id="9" name="Graphic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10" name="Graphic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77</xdr:row>
      <xdr:rowOff>0</xdr:rowOff>
    </xdr:from>
    <xdr:to>
      <xdr:col>5</xdr:col>
      <xdr:colOff>306705</xdr:colOff>
      <xdr:row>77</xdr:row>
      <xdr:rowOff>0</xdr:rowOff>
    </xdr:to>
    <xdr:grpSp>
      <xdr:nvGrpSpPr>
        <xdr:cNvPr id="11" name="Group 10">
          <a:extLst>
            <a:ext uri="{FF2B5EF4-FFF2-40B4-BE49-F238E27FC236}">
              <a16:creationId xmlns:a16="http://schemas.microsoft.com/office/drawing/2014/main" id="{00000000-0008-0000-0500-00000B000000}"/>
            </a:ext>
          </a:extLst>
        </xdr:cNvPr>
        <xdr:cNvGrpSpPr/>
      </xdr:nvGrpSpPr>
      <xdr:grpSpPr>
        <a:xfrm>
          <a:off x="7169150" y="16549688"/>
          <a:ext cx="186055" cy="0"/>
          <a:chOff x="7772400" y="13287375"/>
          <a:chExt cx="304800" cy="304800"/>
        </a:xfrm>
      </xdr:grpSpPr>
      <xdr:sp macro="" textlink="">
        <xdr:nvSpPr>
          <xdr:cNvPr id="12" name="Oval 11">
            <a:extLst>
              <a:ext uri="{FF2B5EF4-FFF2-40B4-BE49-F238E27FC236}">
                <a16:creationId xmlns:a16="http://schemas.microsoft.com/office/drawing/2014/main" id="{00000000-0008-0000-0500-00000C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3" name="Graphic 12" descr="Information">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editAs="absolute">
    <xdr:from>
      <xdr:col>1</xdr:col>
      <xdr:colOff>28575</xdr:colOff>
      <xdr:row>0</xdr:row>
      <xdr:rowOff>123825</xdr:rowOff>
    </xdr:from>
    <xdr:to>
      <xdr:col>1</xdr:col>
      <xdr:colOff>552450</xdr:colOff>
      <xdr:row>1</xdr:row>
      <xdr:rowOff>38100</xdr:rowOff>
    </xdr:to>
    <xdr:pic>
      <xdr:nvPicPr>
        <xdr:cNvPr id="14" name="Graphic 13" descr="Home">
          <a:hlinkClick xmlns:r="http://schemas.openxmlformats.org/officeDocument/2006/relationships" r:id="rId7"/>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19100" y="123825"/>
          <a:ext cx="523875" cy="523875"/>
        </a:xfrm>
        <a:prstGeom prst="rect">
          <a:avLst/>
        </a:prstGeom>
      </xdr:spPr>
    </xdr:pic>
    <xdr:clientData/>
  </xdr:twoCellAnchor>
  <xdr:twoCellAnchor>
    <xdr:from>
      <xdr:col>1</xdr:col>
      <xdr:colOff>47625</xdr:colOff>
      <xdr:row>8</xdr:row>
      <xdr:rowOff>190500</xdr:rowOff>
    </xdr:from>
    <xdr:to>
      <xdr:col>3</xdr:col>
      <xdr:colOff>171450</xdr:colOff>
      <xdr:row>11</xdr:row>
      <xdr:rowOff>161925</xdr:rowOff>
    </xdr:to>
    <xdr:sp macro="" textlink="'1-Description'!E9">
      <xdr:nvSpPr>
        <xdr:cNvPr id="27" name="TextBox 26">
          <a:extLst>
            <a:ext uri="{FF2B5EF4-FFF2-40B4-BE49-F238E27FC236}">
              <a16:creationId xmlns:a16="http://schemas.microsoft.com/office/drawing/2014/main" id="{00000000-0008-0000-0500-00001B000000}"/>
            </a:ext>
          </a:extLst>
        </xdr:cNvPr>
        <xdr:cNvSpPr txBox="1"/>
      </xdr:nvSpPr>
      <xdr:spPr>
        <a:xfrm>
          <a:off x="438150" y="2133600"/>
          <a:ext cx="227647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9DD6FDD-952B-4762-BA6F-E5A12A587AD8}" type="TxLink">
            <a:rPr lang="en-US" sz="1100" b="1" i="0" u="none" strike="noStrike">
              <a:solidFill>
                <a:schemeClr val="tx1">
                  <a:lumMod val="75000"/>
                  <a:lumOff val="25000"/>
                </a:schemeClr>
              </a:solidFill>
              <a:latin typeface="+mj-lt"/>
              <a:cs typeface="Calibri Light" panose="020F0302020204030204" pitchFamily="34" charset="0"/>
            </a:rPr>
            <a:pPr/>
            <a:t>Customer service improvements through chatbot</a:t>
          </a:fld>
          <a:endParaRPr lang="en-US" sz="1050" b="1">
            <a:solidFill>
              <a:schemeClr val="tx1">
                <a:lumMod val="75000"/>
                <a:lumOff val="25000"/>
              </a:schemeClr>
            </a:solidFill>
            <a:latin typeface="+mj-lt"/>
            <a:cs typeface="Calibri Light" panose="020F0302020204030204" pitchFamily="34" charset="0"/>
          </a:endParaRPr>
        </a:p>
      </xdr:txBody>
    </xdr:sp>
    <xdr:clientData/>
  </xdr:twoCellAnchor>
  <xdr:twoCellAnchor>
    <xdr:from>
      <xdr:col>3</xdr:col>
      <xdr:colOff>123825</xdr:colOff>
      <xdr:row>8</xdr:row>
      <xdr:rowOff>180973</xdr:rowOff>
    </xdr:from>
    <xdr:to>
      <xdr:col>5</xdr:col>
      <xdr:colOff>238125</xdr:colOff>
      <xdr:row>16</xdr:row>
      <xdr:rowOff>135253</xdr:rowOff>
    </xdr:to>
    <xdr:sp macro="" textlink="">
      <xdr:nvSpPr>
        <xdr:cNvPr id="28" name="TextBox 27">
          <a:extLst>
            <a:ext uri="{FF2B5EF4-FFF2-40B4-BE49-F238E27FC236}">
              <a16:creationId xmlns:a16="http://schemas.microsoft.com/office/drawing/2014/main" id="{00000000-0008-0000-0500-00001C000000}"/>
            </a:ext>
          </a:extLst>
        </xdr:cNvPr>
        <xdr:cNvSpPr txBox="1"/>
      </xdr:nvSpPr>
      <xdr:spPr>
        <a:xfrm>
          <a:off x="2667000" y="2190748"/>
          <a:ext cx="4305300" cy="155448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a:p>
      </xdr:txBody>
    </xdr:sp>
    <xdr:clientData/>
  </xdr:twoCellAnchor>
  <xdr:twoCellAnchor>
    <xdr:from>
      <xdr:col>5</xdr:col>
      <xdr:colOff>428624</xdr:colOff>
      <xdr:row>8</xdr:row>
      <xdr:rowOff>180973</xdr:rowOff>
    </xdr:from>
    <xdr:to>
      <xdr:col>10</xdr:col>
      <xdr:colOff>419480</xdr:colOff>
      <xdr:row>16</xdr:row>
      <xdr:rowOff>135253</xdr:rowOff>
    </xdr:to>
    <xdr:sp macro="" textlink="">
      <xdr:nvSpPr>
        <xdr:cNvPr id="29" name="TextBox 28">
          <a:extLst>
            <a:ext uri="{FF2B5EF4-FFF2-40B4-BE49-F238E27FC236}">
              <a16:creationId xmlns:a16="http://schemas.microsoft.com/office/drawing/2014/main" id="{00000000-0008-0000-0500-00001D000000}"/>
            </a:ext>
          </a:extLst>
        </xdr:cNvPr>
        <xdr:cNvSpPr txBox="1"/>
      </xdr:nvSpPr>
      <xdr:spPr>
        <a:xfrm>
          <a:off x="7162799" y="2190748"/>
          <a:ext cx="6391656" cy="155448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a:p>
      </xdr:txBody>
    </xdr:sp>
    <xdr:clientData/>
  </xdr:twoCellAnchor>
  <xdr:twoCellAnchor>
    <xdr:from>
      <xdr:col>1</xdr:col>
      <xdr:colOff>47625</xdr:colOff>
      <xdr:row>12</xdr:row>
      <xdr:rowOff>104775</xdr:rowOff>
    </xdr:from>
    <xdr:to>
      <xdr:col>2</xdr:col>
      <xdr:colOff>714375</xdr:colOff>
      <xdr:row>14</xdr:row>
      <xdr:rowOff>19050</xdr:rowOff>
    </xdr:to>
    <xdr:sp macro="" textlink="$E$9">
      <xdr:nvSpPr>
        <xdr:cNvPr id="30" name="TextBox 29">
          <a:extLst>
            <a:ext uri="{FF2B5EF4-FFF2-40B4-BE49-F238E27FC236}">
              <a16:creationId xmlns:a16="http://schemas.microsoft.com/office/drawing/2014/main" id="{00000000-0008-0000-0500-00001E000000}"/>
            </a:ext>
          </a:extLst>
        </xdr:cNvPr>
        <xdr:cNvSpPr txBox="1"/>
      </xdr:nvSpPr>
      <xdr:spPr>
        <a:xfrm>
          <a:off x="438150" y="2914650"/>
          <a:ext cx="15240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DB207D0-2FAD-48D1-8811-67C7ECE4D33F}" type="TxLink">
            <a:rPr lang="en-US" sz="1200" b="0" i="0" u="none" strike="noStrike">
              <a:solidFill>
                <a:schemeClr val="tx1">
                  <a:lumMod val="65000"/>
                  <a:lumOff val="35000"/>
                </a:schemeClr>
              </a:solidFill>
              <a:latin typeface="+mj-lt"/>
              <a:cs typeface="Calibri Light"/>
            </a:rPr>
            <a:pPr/>
            <a:t>Time horizon: 10 years</a:t>
          </a:fld>
          <a:endParaRPr lang="en-US" sz="1100">
            <a:solidFill>
              <a:schemeClr val="tx1">
                <a:lumMod val="65000"/>
                <a:lumOff val="35000"/>
              </a:schemeClr>
            </a:solidFill>
            <a:latin typeface="+mj-lt"/>
          </a:endParaRPr>
        </a:p>
      </xdr:txBody>
    </xdr:sp>
    <xdr:clientData/>
  </xdr:twoCellAnchor>
  <xdr:twoCellAnchor>
    <xdr:from>
      <xdr:col>1</xdr:col>
      <xdr:colOff>190501</xdr:colOff>
      <xdr:row>22</xdr:row>
      <xdr:rowOff>38099</xdr:rowOff>
    </xdr:from>
    <xdr:to>
      <xdr:col>5</xdr:col>
      <xdr:colOff>238125</xdr:colOff>
      <xdr:row>37</xdr:row>
      <xdr:rowOff>19050</xdr:rowOff>
    </xdr:to>
    <xdr:graphicFrame macro="">
      <xdr:nvGraphicFramePr>
        <xdr:cNvPr id="32" name="Chart 31">
          <a:extLst>
            <a:ext uri="{FF2B5EF4-FFF2-40B4-BE49-F238E27FC236}">
              <a16:creationId xmlns:a16="http://schemas.microsoft.com/office/drawing/2014/main" id="{00000000-0008-0000-05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47625</xdr:colOff>
      <xdr:row>11</xdr:row>
      <xdr:rowOff>66675</xdr:rowOff>
    </xdr:from>
    <xdr:to>
      <xdr:col>3</xdr:col>
      <xdr:colOff>47625</xdr:colOff>
      <xdr:row>12</xdr:row>
      <xdr:rowOff>180975</xdr:rowOff>
    </xdr:to>
    <xdr:sp macro="" textlink="$C$14">
      <xdr:nvSpPr>
        <xdr:cNvPr id="33" name="TextBox 32">
          <a:extLst>
            <a:ext uri="{FF2B5EF4-FFF2-40B4-BE49-F238E27FC236}">
              <a16:creationId xmlns:a16="http://schemas.microsoft.com/office/drawing/2014/main" id="{00000000-0008-0000-0500-000021000000}"/>
            </a:ext>
          </a:extLst>
        </xdr:cNvPr>
        <xdr:cNvSpPr txBox="1"/>
      </xdr:nvSpPr>
      <xdr:spPr>
        <a:xfrm>
          <a:off x="438150" y="2676525"/>
          <a:ext cx="21526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BE1416E-FD5A-4564-99B1-245ED05B94C9}" type="TxLink">
            <a:rPr lang="en-US" sz="1200" b="0" i="0" u="none" strike="noStrike">
              <a:solidFill>
                <a:schemeClr val="tx1">
                  <a:lumMod val="65000"/>
                  <a:lumOff val="35000"/>
                </a:schemeClr>
              </a:solidFill>
              <a:latin typeface="+mj-lt"/>
              <a:cs typeface="Calibri Light"/>
            </a:rPr>
            <a:pPr/>
            <a:t>Discount rate: 12.5%</a:t>
          </a:fld>
          <a:endParaRPr lang="en-US" sz="1100">
            <a:solidFill>
              <a:schemeClr val="tx1">
                <a:lumMod val="65000"/>
                <a:lumOff val="35000"/>
              </a:schemeClr>
            </a:solidFill>
            <a:latin typeface="+mj-lt"/>
          </a:endParaRPr>
        </a:p>
      </xdr:txBody>
    </xdr:sp>
    <xdr:clientData/>
  </xdr:twoCellAnchor>
  <xdr:twoCellAnchor>
    <xdr:from>
      <xdr:col>5</xdr:col>
      <xdr:colOff>428625</xdr:colOff>
      <xdr:row>22</xdr:row>
      <xdr:rowOff>38098</xdr:rowOff>
    </xdr:from>
    <xdr:to>
      <xdr:col>10</xdr:col>
      <xdr:colOff>418756</xdr:colOff>
      <xdr:row>37</xdr:row>
      <xdr:rowOff>18718</xdr:rowOff>
    </xdr:to>
    <xdr:graphicFrame macro="">
      <xdr:nvGraphicFramePr>
        <xdr:cNvPr id="15" name="Chart 14">
          <a:extLst>
            <a:ext uri="{FF2B5EF4-FFF2-40B4-BE49-F238E27FC236}">
              <a16:creationId xmlns:a16="http://schemas.microsoft.com/office/drawing/2014/main" id="{00000000-0008-0000-05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1569719</xdr:colOff>
      <xdr:row>7</xdr:row>
      <xdr:rowOff>123825</xdr:rowOff>
    </xdr:from>
    <xdr:to>
      <xdr:col>4</xdr:col>
      <xdr:colOff>2522219</xdr:colOff>
      <xdr:row>8</xdr:row>
      <xdr:rowOff>180975</xdr:rowOff>
    </xdr:to>
    <xdr:sp macro="" textlink="">
      <xdr:nvSpPr>
        <xdr:cNvPr id="22" name="TextBox 21">
          <a:extLst>
            <a:ext uri="{FF2B5EF4-FFF2-40B4-BE49-F238E27FC236}">
              <a16:creationId xmlns:a16="http://schemas.microsoft.com/office/drawing/2014/main" id="{00000000-0008-0000-0500-000016000000}"/>
            </a:ext>
          </a:extLst>
        </xdr:cNvPr>
        <xdr:cNvSpPr txBox="1"/>
      </xdr:nvSpPr>
      <xdr:spPr>
        <a:xfrm>
          <a:off x="4303394" y="1933575"/>
          <a:ext cx="952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tx1">
                  <a:lumMod val="75000"/>
                  <a:lumOff val="25000"/>
                </a:schemeClr>
              </a:solidFill>
              <a:latin typeface="+mj-lt"/>
              <a:cs typeface="Calibri Light" panose="020F0302020204030204" pitchFamily="34" charset="0"/>
            </a:rPr>
            <a:t>Issue</a:t>
          </a:r>
        </a:p>
      </xdr:txBody>
    </xdr:sp>
    <xdr:clientData/>
  </xdr:twoCellAnchor>
  <xdr:twoCellAnchor>
    <xdr:from>
      <xdr:col>9</xdr:col>
      <xdr:colOff>590550</xdr:colOff>
      <xdr:row>7</xdr:row>
      <xdr:rowOff>123825</xdr:rowOff>
    </xdr:from>
    <xdr:to>
      <xdr:col>9</xdr:col>
      <xdr:colOff>1834516</xdr:colOff>
      <xdr:row>8</xdr:row>
      <xdr:rowOff>180975</xdr:rowOff>
    </xdr:to>
    <xdr:sp macro="" textlink="">
      <xdr:nvSpPr>
        <xdr:cNvPr id="37" name="TextBox 36">
          <a:extLst>
            <a:ext uri="{FF2B5EF4-FFF2-40B4-BE49-F238E27FC236}">
              <a16:creationId xmlns:a16="http://schemas.microsoft.com/office/drawing/2014/main" id="{00000000-0008-0000-0500-000025000000}"/>
            </a:ext>
          </a:extLst>
        </xdr:cNvPr>
        <xdr:cNvSpPr txBox="1"/>
      </xdr:nvSpPr>
      <xdr:spPr>
        <a:xfrm>
          <a:off x="9725025" y="1876425"/>
          <a:ext cx="12439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tx1">
                  <a:lumMod val="75000"/>
                  <a:lumOff val="25000"/>
                </a:schemeClr>
              </a:solidFill>
              <a:latin typeface="+mj-lt"/>
              <a:cs typeface="Calibri Light" panose="020F0302020204030204" pitchFamily="34" charset="0"/>
            </a:rPr>
            <a:t>Opportunity</a:t>
          </a:r>
        </a:p>
      </xdr:txBody>
    </xdr:sp>
    <xdr:clientData/>
  </xdr:twoCellAnchor>
  <xdr:twoCellAnchor>
    <xdr:from>
      <xdr:col>2</xdr:col>
      <xdr:colOff>557893</xdr:colOff>
      <xdr:row>19</xdr:row>
      <xdr:rowOff>114299</xdr:rowOff>
    </xdr:from>
    <xdr:to>
      <xdr:col>4</xdr:col>
      <xdr:colOff>1466851</xdr:colOff>
      <xdr:row>22</xdr:row>
      <xdr:rowOff>40820</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1809750" y="4250870"/>
          <a:ext cx="2392137" cy="70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mj-lt"/>
              <a:cs typeface="Calibri Light" panose="020F0302020204030204" pitchFamily="34" charset="0"/>
            </a:rPr>
            <a:t>Avg yearly disc.</a:t>
          </a:r>
          <a:r>
            <a:rPr lang="en-US" sz="1600" baseline="0">
              <a:latin typeface="+mj-lt"/>
              <a:cs typeface="Calibri Light" panose="020F0302020204030204" pitchFamily="34" charset="0"/>
            </a:rPr>
            <a:t> </a:t>
          </a:r>
          <a:r>
            <a:rPr lang="en-US" sz="1600">
              <a:latin typeface="+mj-lt"/>
              <a:cs typeface="Calibri Light" panose="020F0302020204030204" pitchFamily="34" charset="0"/>
            </a:rPr>
            <a:t>profits:</a:t>
          </a:r>
        </a:p>
      </xdr:txBody>
    </xdr:sp>
    <xdr:clientData/>
  </xdr:twoCellAnchor>
  <xdr:twoCellAnchor>
    <xdr:from>
      <xdr:col>4</xdr:col>
      <xdr:colOff>2838450</xdr:colOff>
      <xdr:row>19</xdr:row>
      <xdr:rowOff>114300</xdr:rowOff>
    </xdr:from>
    <xdr:to>
      <xdr:col>4</xdr:col>
      <xdr:colOff>3495675</xdr:colOff>
      <xdr:row>20</xdr:row>
      <xdr:rowOff>114300</xdr:rowOff>
    </xdr:to>
    <xdr:sp macro="" textlink="">
      <xdr:nvSpPr>
        <xdr:cNvPr id="38" name="TextBox 37">
          <a:extLst>
            <a:ext uri="{FF2B5EF4-FFF2-40B4-BE49-F238E27FC236}">
              <a16:creationId xmlns:a16="http://schemas.microsoft.com/office/drawing/2014/main" id="{00000000-0008-0000-0500-000026000000}"/>
            </a:ext>
          </a:extLst>
        </xdr:cNvPr>
        <xdr:cNvSpPr txBox="1"/>
      </xdr:nvSpPr>
      <xdr:spPr>
        <a:xfrm>
          <a:off x="5572125" y="4219575"/>
          <a:ext cx="65722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mj-lt"/>
              <a:cs typeface="Calibri Light" panose="020F0302020204030204" pitchFamily="34" charset="0"/>
            </a:rPr>
            <a:t>NPV:</a:t>
          </a:r>
        </a:p>
      </xdr:txBody>
    </xdr:sp>
    <xdr:clientData/>
  </xdr:twoCellAnchor>
  <xdr:twoCellAnchor>
    <xdr:from>
      <xdr:col>7</xdr:col>
      <xdr:colOff>609601</xdr:colOff>
      <xdr:row>19</xdr:row>
      <xdr:rowOff>114300</xdr:rowOff>
    </xdr:from>
    <xdr:to>
      <xdr:col>9</xdr:col>
      <xdr:colOff>57151</xdr:colOff>
      <xdr:row>20</xdr:row>
      <xdr:rowOff>114300</xdr:rowOff>
    </xdr:to>
    <xdr:sp macro="" textlink="">
      <xdr:nvSpPr>
        <xdr:cNvPr id="39" name="TextBox 38">
          <a:extLst>
            <a:ext uri="{FF2B5EF4-FFF2-40B4-BE49-F238E27FC236}">
              <a16:creationId xmlns:a16="http://schemas.microsoft.com/office/drawing/2014/main" id="{00000000-0008-0000-0500-000027000000}"/>
            </a:ext>
          </a:extLst>
        </xdr:cNvPr>
        <xdr:cNvSpPr txBox="1"/>
      </xdr:nvSpPr>
      <xdr:spPr>
        <a:xfrm>
          <a:off x="8410576" y="4219575"/>
          <a:ext cx="78105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mj-lt"/>
              <a:cs typeface="Calibri Light" panose="020F0302020204030204" pitchFamily="34" charset="0"/>
            </a:rPr>
            <a:t>ROI:</a:t>
          </a:r>
        </a:p>
      </xdr:txBody>
    </xdr:sp>
    <xdr:clientData/>
  </xdr:twoCellAnchor>
  <xdr:twoCellAnchor>
    <xdr:from>
      <xdr:col>9</xdr:col>
      <xdr:colOff>1400175</xdr:colOff>
      <xdr:row>19</xdr:row>
      <xdr:rowOff>114300</xdr:rowOff>
    </xdr:from>
    <xdr:to>
      <xdr:col>9</xdr:col>
      <xdr:colOff>2143125</xdr:colOff>
      <xdr:row>20</xdr:row>
      <xdr:rowOff>114300</xdr:rowOff>
    </xdr:to>
    <xdr:sp macro="" textlink="">
      <xdr:nvSpPr>
        <xdr:cNvPr id="40" name="TextBox 39">
          <a:extLst>
            <a:ext uri="{FF2B5EF4-FFF2-40B4-BE49-F238E27FC236}">
              <a16:creationId xmlns:a16="http://schemas.microsoft.com/office/drawing/2014/main" id="{00000000-0008-0000-0500-000028000000}"/>
            </a:ext>
          </a:extLst>
        </xdr:cNvPr>
        <xdr:cNvSpPr txBox="1"/>
      </xdr:nvSpPr>
      <xdr:spPr>
        <a:xfrm>
          <a:off x="10534650" y="4219575"/>
          <a:ext cx="74295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mj-lt"/>
              <a:cs typeface="Calibri Light" panose="020F0302020204030204" pitchFamily="34" charset="0"/>
            </a:rPr>
            <a:t>IRR:</a:t>
          </a:r>
        </a:p>
      </xdr:txBody>
    </xdr:sp>
    <xdr:clientData/>
  </xdr:twoCellAnchor>
  <xdr:twoCellAnchor>
    <xdr:from>
      <xdr:col>4</xdr:col>
      <xdr:colOff>1507022</xdr:colOff>
      <xdr:row>19</xdr:row>
      <xdr:rowOff>114300</xdr:rowOff>
    </xdr:from>
    <xdr:to>
      <xdr:col>4</xdr:col>
      <xdr:colOff>2850046</xdr:colOff>
      <xdr:row>20</xdr:row>
      <xdr:rowOff>114300</xdr:rowOff>
    </xdr:to>
    <xdr:sp macro="" textlink="$R$27">
      <xdr:nvSpPr>
        <xdr:cNvPr id="42" name="TextBox 41">
          <a:extLst>
            <a:ext uri="{FF2B5EF4-FFF2-40B4-BE49-F238E27FC236}">
              <a16:creationId xmlns:a16="http://schemas.microsoft.com/office/drawing/2014/main" id="{00000000-0008-0000-0500-00002A000000}"/>
            </a:ext>
          </a:extLst>
        </xdr:cNvPr>
        <xdr:cNvSpPr txBox="1"/>
      </xdr:nvSpPr>
      <xdr:spPr>
        <a:xfrm>
          <a:off x="4240283" y="4214191"/>
          <a:ext cx="1343024" cy="372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CD0CA069-45E9-4F7F-A7CE-178D585474AC}" type="TxLink">
            <a:rPr lang="en-US" sz="1600" b="1" i="0" u="none" strike="noStrike">
              <a:solidFill>
                <a:srgbClr val="000000"/>
              </a:solidFill>
              <a:latin typeface="+mn-lt"/>
              <a:cs typeface="Calibri Light"/>
            </a:rPr>
            <a:pPr algn="l"/>
            <a:t>2,960,381</a:t>
          </a:fld>
          <a:endParaRPr lang="en-US" sz="3200" b="1">
            <a:latin typeface="+mn-lt"/>
            <a:cs typeface="Calibri Light" panose="020F0302020204030204" pitchFamily="34" charset="0"/>
          </a:endParaRPr>
        </a:p>
      </xdr:txBody>
    </xdr:sp>
    <xdr:clientData fPrintsWithSheet="0"/>
  </xdr:twoCellAnchor>
  <xdr:twoCellAnchor>
    <xdr:from>
      <xdr:col>4</xdr:col>
      <xdr:colOff>3663814</xdr:colOff>
      <xdr:row>19</xdr:row>
      <xdr:rowOff>114300</xdr:rowOff>
    </xdr:from>
    <xdr:to>
      <xdr:col>6</xdr:col>
      <xdr:colOff>396738</xdr:colOff>
      <xdr:row>20</xdr:row>
      <xdr:rowOff>114300</xdr:rowOff>
    </xdr:to>
    <xdr:sp macro="" textlink="$R$28">
      <xdr:nvSpPr>
        <xdr:cNvPr id="43" name="TextBox 42">
          <a:extLst>
            <a:ext uri="{FF2B5EF4-FFF2-40B4-BE49-F238E27FC236}">
              <a16:creationId xmlns:a16="http://schemas.microsoft.com/office/drawing/2014/main" id="{00000000-0008-0000-0500-00002B000000}"/>
            </a:ext>
          </a:extLst>
        </xdr:cNvPr>
        <xdr:cNvSpPr txBox="1"/>
      </xdr:nvSpPr>
      <xdr:spPr>
        <a:xfrm>
          <a:off x="6397075" y="4214191"/>
          <a:ext cx="1346337" cy="372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31B3D7DD-B84A-4F22-8B78-9435536BA986}" type="TxLink">
            <a:rPr lang="en-US" sz="1600" b="1" i="0" u="none" strike="noStrike">
              <a:solidFill>
                <a:srgbClr val="000000"/>
              </a:solidFill>
              <a:latin typeface="Arial"/>
              <a:ea typeface="+mn-ea"/>
              <a:cs typeface="Arial"/>
            </a:rPr>
            <a:pPr marL="0" indent="0" algn="l"/>
            <a:t>32,564,193</a:t>
          </a:fld>
          <a:endParaRPr lang="en-US" sz="1600" b="1" i="0" u="none" strike="noStrike">
            <a:solidFill>
              <a:srgbClr val="000000"/>
            </a:solidFill>
            <a:latin typeface="+mj-lt"/>
            <a:ea typeface="+mn-ea"/>
            <a:cs typeface="Calibri Light"/>
          </a:endParaRPr>
        </a:p>
      </xdr:txBody>
    </xdr:sp>
    <xdr:clientData/>
  </xdr:twoCellAnchor>
  <xdr:twoCellAnchor>
    <xdr:from>
      <xdr:col>8</xdr:col>
      <xdr:colOff>47626</xdr:colOff>
      <xdr:row>19</xdr:row>
      <xdr:rowOff>126206</xdr:rowOff>
    </xdr:from>
    <xdr:to>
      <xdr:col>9</xdr:col>
      <xdr:colOff>704850</xdr:colOff>
      <xdr:row>20</xdr:row>
      <xdr:rowOff>126206</xdr:rowOff>
    </xdr:to>
    <xdr:sp macro="" textlink="$R$29">
      <xdr:nvSpPr>
        <xdr:cNvPr id="44" name="TextBox 43">
          <a:extLst>
            <a:ext uri="{FF2B5EF4-FFF2-40B4-BE49-F238E27FC236}">
              <a16:creationId xmlns:a16="http://schemas.microsoft.com/office/drawing/2014/main" id="{00000000-0008-0000-0500-00002C000000}"/>
            </a:ext>
          </a:extLst>
        </xdr:cNvPr>
        <xdr:cNvSpPr txBox="1"/>
      </xdr:nvSpPr>
      <xdr:spPr>
        <a:xfrm>
          <a:off x="8989220" y="4245769"/>
          <a:ext cx="847724" cy="369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B24FC693-843A-4BFA-85C0-602250BBAF98}" type="TxLink">
            <a:rPr lang="en-US" sz="1600" b="1" i="0" u="none" strike="noStrike">
              <a:solidFill>
                <a:srgbClr val="000000"/>
              </a:solidFill>
              <a:latin typeface="Arial"/>
              <a:ea typeface="+mn-ea"/>
              <a:cs typeface="Arial"/>
            </a:rPr>
            <a:pPr marL="0" indent="0" algn="l"/>
            <a:t>419%</a:t>
          </a:fld>
          <a:endParaRPr lang="en-US" sz="1600" b="1" i="0" u="none" strike="noStrike">
            <a:solidFill>
              <a:srgbClr val="000000"/>
            </a:solidFill>
            <a:latin typeface="+mj-lt"/>
            <a:ea typeface="+mn-ea"/>
            <a:cs typeface="Calibri Light"/>
          </a:endParaRPr>
        </a:p>
      </xdr:txBody>
    </xdr:sp>
    <xdr:clientData/>
  </xdr:twoCellAnchor>
  <xdr:twoCellAnchor>
    <xdr:from>
      <xdr:col>9</xdr:col>
      <xdr:colOff>1981201</xdr:colOff>
      <xdr:row>19</xdr:row>
      <xdr:rowOff>114300</xdr:rowOff>
    </xdr:from>
    <xdr:to>
      <xdr:col>9</xdr:col>
      <xdr:colOff>2828925</xdr:colOff>
      <xdr:row>20</xdr:row>
      <xdr:rowOff>114300</xdr:rowOff>
    </xdr:to>
    <xdr:sp macro="" textlink="$R$30">
      <xdr:nvSpPr>
        <xdr:cNvPr id="45" name="TextBox 44">
          <a:extLst>
            <a:ext uri="{FF2B5EF4-FFF2-40B4-BE49-F238E27FC236}">
              <a16:creationId xmlns:a16="http://schemas.microsoft.com/office/drawing/2014/main" id="{00000000-0008-0000-0500-00002D000000}"/>
            </a:ext>
          </a:extLst>
        </xdr:cNvPr>
        <xdr:cNvSpPr txBox="1"/>
      </xdr:nvSpPr>
      <xdr:spPr>
        <a:xfrm>
          <a:off x="11115676" y="4324350"/>
          <a:ext cx="847724"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58FFC312-7213-4FF6-8E76-DAE4FFB6C0BA}" type="TxLink">
            <a:rPr lang="en-US" sz="1600" b="1" i="0" u="none" strike="noStrike">
              <a:solidFill>
                <a:srgbClr val="000000"/>
              </a:solidFill>
              <a:latin typeface="+mj-lt"/>
              <a:ea typeface="+mn-ea"/>
              <a:cs typeface="Calibri Light"/>
            </a:rPr>
            <a:pPr marL="0" indent="0" algn="l"/>
            <a:t>723%</a:t>
          </a:fld>
          <a:endParaRPr lang="en-US" sz="1600" b="1" i="0" u="none" strike="noStrike">
            <a:solidFill>
              <a:srgbClr val="000000"/>
            </a:solidFill>
            <a:latin typeface="+mj-lt"/>
            <a:ea typeface="+mn-ea"/>
            <a:cs typeface="Calibri Light"/>
          </a:endParaRPr>
        </a:p>
      </xdr:txBody>
    </xdr:sp>
    <xdr:clientData/>
  </xdr:twoCellAnchor>
  <xdr:twoCellAnchor>
    <xdr:from>
      <xdr:col>1</xdr:col>
      <xdr:colOff>180976</xdr:colOff>
      <xdr:row>18</xdr:row>
      <xdr:rowOff>180975</xdr:rowOff>
    </xdr:from>
    <xdr:to>
      <xdr:col>2</xdr:col>
      <xdr:colOff>1076325</xdr:colOff>
      <xdr:row>21</xdr:row>
      <xdr:rowOff>150495</xdr:rowOff>
    </xdr:to>
    <xdr:grpSp>
      <xdr:nvGrpSpPr>
        <xdr:cNvPr id="47" name="Group 46">
          <a:extLst>
            <a:ext uri="{FF2B5EF4-FFF2-40B4-BE49-F238E27FC236}">
              <a16:creationId xmlns:a16="http://schemas.microsoft.com/office/drawing/2014/main" id="{00000000-0008-0000-0500-00002F000000}"/>
            </a:ext>
          </a:extLst>
        </xdr:cNvPr>
        <xdr:cNvGrpSpPr/>
      </xdr:nvGrpSpPr>
      <xdr:grpSpPr>
        <a:xfrm>
          <a:off x="582614" y="4225925"/>
          <a:ext cx="1788317" cy="746601"/>
          <a:chOff x="685801" y="3771903"/>
          <a:chExt cx="1752599" cy="741049"/>
        </a:xfrm>
      </xdr:grpSpPr>
      <xdr:sp macro="" textlink="">
        <xdr:nvSpPr>
          <xdr:cNvPr id="55" name="TextBox 54">
            <a:extLst>
              <a:ext uri="{FF2B5EF4-FFF2-40B4-BE49-F238E27FC236}">
                <a16:creationId xmlns:a16="http://schemas.microsoft.com/office/drawing/2014/main" id="{00000000-0008-0000-0500-000037000000}"/>
              </a:ext>
            </a:extLst>
          </xdr:cNvPr>
          <xdr:cNvSpPr txBox="1"/>
        </xdr:nvSpPr>
        <xdr:spPr>
          <a:xfrm>
            <a:off x="866775" y="4019550"/>
            <a:ext cx="15716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17948C"/>
                </a:solidFill>
                <a:latin typeface="+mj-lt"/>
                <a:cs typeface="Calibri Light" panose="020F0302020204030204" pitchFamily="34" charset="0"/>
              </a:rPr>
              <a:t>Average case</a:t>
            </a:r>
          </a:p>
        </xdr:txBody>
      </xdr:sp>
      <xdr:sp macro="" textlink="">
        <xdr:nvSpPr>
          <xdr:cNvPr id="56" name="TextBox 55">
            <a:extLst>
              <a:ext uri="{FF2B5EF4-FFF2-40B4-BE49-F238E27FC236}">
                <a16:creationId xmlns:a16="http://schemas.microsoft.com/office/drawing/2014/main" id="{00000000-0008-0000-0500-000038000000}"/>
              </a:ext>
            </a:extLst>
          </xdr:cNvPr>
          <xdr:cNvSpPr txBox="1"/>
        </xdr:nvSpPr>
        <xdr:spPr>
          <a:xfrm>
            <a:off x="866775" y="4248150"/>
            <a:ext cx="15716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17948C"/>
                </a:solidFill>
                <a:latin typeface="+mj-lt"/>
                <a:cs typeface="Calibri Light" panose="020F0302020204030204" pitchFamily="34" charset="0"/>
              </a:rPr>
              <a:t>Worst case</a:t>
            </a:r>
          </a:p>
        </xdr:txBody>
      </xdr:sp>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866775" y="3790950"/>
            <a:ext cx="15716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17948C"/>
                </a:solidFill>
                <a:latin typeface="+mj-lt"/>
                <a:cs typeface="Calibri Light" panose="020F0302020204030204" pitchFamily="34" charset="0"/>
              </a:rPr>
              <a:t>Best case</a:t>
            </a:r>
          </a:p>
        </xdr:txBody>
      </xdr:sp>
      <mc:AlternateContent xmlns:mc="http://schemas.openxmlformats.org/markup-compatibility/2006">
        <mc:Choice xmlns:a14="http://schemas.microsoft.com/office/drawing/2010/main" Requires="a14">
          <xdr:sp macro="" textlink="">
            <xdr:nvSpPr>
              <xdr:cNvPr id="6148" name="Option Button 4" descr="Best Case"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685801" y="3771903"/>
                <a:ext cx="1097280" cy="2743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149" name="Option Button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685801" y="4000500"/>
                <a:ext cx="1097280" cy="2743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150" name="Option Button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685801" y="4238631"/>
                <a:ext cx="1097280" cy="2743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mc:Choice>
        <mc:Fallback/>
      </mc:AlternateContent>
    </xdr:grpSp>
    <xdr:clientData/>
  </xdr:twoCellAnchor>
  <xdr:twoCellAnchor>
    <xdr:from>
      <xdr:col>1</xdr:col>
      <xdr:colOff>0</xdr:colOff>
      <xdr:row>13</xdr:row>
      <xdr:rowOff>133350</xdr:rowOff>
    </xdr:from>
    <xdr:to>
      <xdr:col>2</xdr:col>
      <xdr:colOff>266700</xdr:colOff>
      <xdr:row>15</xdr:row>
      <xdr:rowOff>76200</xdr:rowOff>
    </xdr:to>
    <xdr:sp macro="" textlink="">
      <xdr:nvSpPr>
        <xdr:cNvPr id="48" name="Rectangle 47">
          <a:extLst>
            <a:ext uri="{FF2B5EF4-FFF2-40B4-BE49-F238E27FC236}">
              <a16:creationId xmlns:a16="http://schemas.microsoft.com/office/drawing/2014/main" id="{00000000-0008-0000-0500-000030000000}"/>
            </a:ext>
          </a:extLst>
        </xdr:cNvPr>
        <xdr:cNvSpPr/>
      </xdr:nvSpPr>
      <xdr:spPr>
        <a:xfrm>
          <a:off x="390525" y="3143250"/>
          <a:ext cx="11239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xdr:col>
      <xdr:colOff>1803871</xdr:colOff>
      <xdr:row>3</xdr:row>
      <xdr:rowOff>127493</xdr:rowOff>
    </xdr:from>
    <xdr:to>
      <xdr:col>9</xdr:col>
      <xdr:colOff>2020771</xdr:colOff>
      <xdr:row>3</xdr:row>
      <xdr:rowOff>128587</xdr:rowOff>
    </xdr:to>
    <xdr:cxnSp macro="">
      <xdr:nvCxnSpPr>
        <xdr:cNvPr id="113" name="Straight Connector 112">
          <a:extLst>
            <a:ext uri="{FF2B5EF4-FFF2-40B4-BE49-F238E27FC236}">
              <a16:creationId xmlns:a16="http://schemas.microsoft.com/office/drawing/2014/main" id="{00000000-0008-0000-0500-000071000000}"/>
            </a:ext>
          </a:extLst>
        </xdr:cNvPr>
        <xdr:cNvCxnSpPr>
          <a:cxnSpLocks/>
          <a:stCxn id="115" idx="2"/>
          <a:endCxn id="127" idx="6"/>
        </xdr:cNvCxnSpPr>
      </xdr:nvCxnSpPr>
      <xdr:spPr>
        <a:xfrm flipV="1">
          <a:off x="4538907" y="1120814"/>
          <a:ext cx="6625864" cy="1094"/>
        </a:xfrm>
        <a:prstGeom prst="line">
          <a:avLst/>
        </a:prstGeom>
        <a:ln w="28575">
          <a:solidFill>
            <a:srgbClr val="17948C"/>
          </a:solidFill>
        </a:ln>
      </xdr:spPr>
      <xdr:style>
        <a:lnRef idx="2">
          <a:schemeClr val="accent2"/>
        </a:lnRef>
        <a:fillRef idx="0">
          <a:schemeClr val="accent2"/>
        </a:fillRef>
        <a:effectRef idx="1">
          <a:schemeClr val="accent2"/>
        </a:effectRef>
        <a:fontRef idx="minor">
          <a:schemeClr val="tx1"/>
        </a:fontRef>
      </xdr:style>
    </xdr:cxnSp>
    <xdr:clientData/>
  </xdr:twoCellAnchor>
  <xdr:twoCellAnchor editAs="absolute">
    <xdr:from>
      <xdr:col>4</xdr:col>
      <xdr:colOff>1632858</xdr:colOff>
      <xdr:row>1</xdr:row>
      <xdr:rowOff>190499</xdr:rowOff>
    </xdr:from>
    <xdr:to>
      <xdr:col>4</xdr:col>
      <xdr:colOff>2640858</xdr:colOff>
      <xdr:row>6</xdr:row>
      <xdr:rowOff>164594</xdr:rowOff>
    </xdr:to>
    <xdr:grpSp>
      <xdr:nvGrpSpPr>
        <xdr:cNvPr id="114" name="Group 113">
          <a:hlinkClick xmlns:r="http://schemas.openxmlformats.org/officeDocument/2006/relationships" r:id="rId12"/>
          <a:extLst>
            <a:ext uri="{FF2B5EF4-FFF2-40B4-BE49-F238E27FC236}">
              <a16:creationId xmlns:a16="http://schemas.microsoft.com/office/drawing/2014/main" id="{00000000-0008-0000-0500-000072000000}"/>
            </a:ext>
          </a:extLst>
        </xdr:cNvPr>
        <xdr:cNvGrpSpPr/>
      </xdr:nvGrpSpPr>
      <xdr:grpSpPr>
        <a:xfrm>
          <a:off x="4487183" y="797718"/>
          <a:ext cx="1008000" cy="982951"/>
          <a:chOff x="3314700" y="857249"/>
          <a:chExt cx="954428" cy="926595"/>
        </a:xfrm>
      </xdr:grpSpPr>
      <xdr:sp macro="" textlink="">
        <xdr:nvSpPr>
          <xdr:cNvPr id="115" name="Oval 114">
            <a:extLst>
              <a:ext uri="{FF2B5EF4-FFF2-40B4-BE49-F238E27FC236}">
                <a16:creationId xmlns:a16="http://schemas.microsoft.com/office/drawing/2014/main" id="{00000000-0008-0000-0500-000073000000}"/>
              </a:ext>
            </a:extLst>
          </xdr:cNvPr>
          <xdr:cNvSpPr/>
        </xdr:nvSpPr>
        <xdr:spPr>
          <a:xfrm>
            <a:off x="34766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16" name="TextBox 115">
            <a:extLst>
              <a:ext uri="{FF2B5EF4-FFF2-40B4-BE49-F238E27FC236}">
                <a16:creationId xmlns:a16="http://schemas.microsoft.com/office/drawing/2014/main" id="{00000000-0008-0000-0500-000074000000}"/>
              </a:ext>
            </a:extLst>
          </xdr:cNvPr>
          <xdr:cNvSpPr txBox="1"/>
        </xdr:nvSpPr>
        <xdr:spPr>
          <a:xfrm>
            <a:off x="3314700" y="1514475"/>
            <a:ext cx="954428"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Description</a:t>
            </a:r>
          </a:p>
        </xdr:txBody>
      </xdr:sp>
      <xdr:pic>
        <xdr:nvPicPr>
          <xdr:cNvPr id="117" name="Graphic 116" descr="Document">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3590926" y="962026"/>
            <a:ext cx="416774" cy="416774"/>
          </a:xfrm>
          <a:prstGeom prst="rect">
            <a:avLst/>
          </a:prstGeom>
        </xdr:spPr>
      </xdr:pic>
    </xdr:grpSp>
    <xdr:clientData/>
  </xdr:twoCellAnchor>
  <xdr:twoCellAnchor editAs="absolute">
    <xdr:from>
      <xdr:col>7</xdr:col>
      <xdr:colOff>776384</xdr:colOff>
      <xdr:row>1</xdr:row>
      <xdr:rowOff>190499</xdr:rowOff>
    </xdr:from>
    <xdr:to>
      <xdr:col>9</xdr:col>
      <xdr:colOff>90884</xdr:colOff>
      <xdr:row>6</xdr:row>
      <xdr:rowOff>164594</xdr:rowOff>
    </xdr:to>
    <xdr:grpSp>
      <xdr:nvGrpSpPr>
        <xdr:cNvPr id="118" name="Group 117">
          <a:hlinkClick xmlns:r="http://schemas.openxmlformats.org/officeDocument/2006/relationships" r:id="rId15"/>
          <a:extLst>
            <a:ext uri="{FF2B5EF4-FFF2-40B4-BE49-F238E27FC236}">
              <a16:creationId xmlns:a16="http://schemas.microsoft.com/office/drawing/2014/main" id="{00000000-0008-0000-0500-000076000000}"/>
            </a:ext>
          </a:extLst>
        </xdr:cNvPr>
        <xdr:cNvGrpSpPr/>
      </xdr:nvGrpSpPr>
      <xdr:grpSpPr>
        <a:xfrm>
          <a:off x="8940897" y="797718"/>
          <a:ext cx="719437" cy="982951"/>
          <a:chOff x="6686549" y="857249"/>
          <a:chExt cx="638175" cy="926595"/>
        </a:xfrm>
      </xdr:grpSpPr>
      <xdr:sp macro="" textlink="">
        <xdr:nvSpPr>
          <xdr:cNvPr id="119" name="Oval 118">
            <a:extLst>
              <a:ext uri="{FF2B5EF4-FFF2-40B4-BE49-F238E27FC236}">
                <a16:creationId xmlns:a16="http://schemas.microsoft.com/office/drawing/2014/main" id="{00000000-0008-0000-0500-000077000000}"/>
              </a:ext>
            </a:extLst>
          </xdr:cNvPr>
          <xdr:cNvSpPr/>
        </xdr:nvSpPr>
        <xdr:spPr>
          <a:xfrm>
            <a:off x="6686549"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20" name="TextBox 119">
            <a:extLst>
              <a:ext uri="{FF2B5EF4-FFF2-40B4-BE49-F238E27FC236}">
                <a16:creationId xmlns:a16="http://schemas.microsoft.com/office/drawing/2014/main" id="{00000000-0008-0000-0500-000078000000}"/>
              </a:ext>
            </a:extLst>
          </xdr:cNvPr>
          <xdr:cNvSpPr txBox="1"/>
        </xdr:nvSpPr>
        <xdr:spPr>
          <a:xfrm>
            <a:off x="6724650" y="1514475"/>
            <a:ext cx="578043"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Costs</a:t>
            </a:r>
          </a:p>
        </xdr:txBody>
      </xdr:sp>
      <xdr:pic>
        <xdr:nvPicPr>
          <xdr:cNvPr id="121" name="Graphic 120" descr="Money">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6798451" y="950101"/>
            <a:ext cx="416774" cy="416774"/>
          </a:xfrm>
          <a:prstGeom prst="rect">
            <a:avLst/>
          </a:prstGeom>
        </xdr:spPr>
      </xdr:pic>
    </xdr:grpSp>
    <xdr:clientData/>
  </xdr:twoCellAnchor>
  <xdr:twoCellAnchor editAs="absolute">
    <xdr:from>
      <xdr:col>4</xdr:col>
      <xdr:colOff>3969968</xdr:colOff>
      <xdr:row>1</xdr:row>
      <xdr:rowOff>190499</xdr:rowOff>
    </xdr:from>
    <xdr:to>
      <xdr:col>5</xdr:col>
      <xdr:colOff>517206</xdr:colOff>
      <xdr:row>6</xdr:row>
      <xdr:rowOff>161419</xdr:rowOff>
    </xdr:to>
    <xdr:grpSp>
      <xdr:nvGrpSpPr>
        <xdr:cNvPr id="122" name="Group 121">
          <a:hlinkClick xmlns:r="http://schemas.openxmlformats.org/officeDocument/2006/relationships" r:id="rId18"/>
          <a:extLst>
            <a:ext uri="{FF2B5EF4-FFF2-40B4-BE49-F238E27FC236}">
              <a16:creationId xmlns:a16="http://schemas.microsoft.com/office/drawing/2014/main" id="{00000000-0008-0000-0500-00007A000000}"/>
            </a:ext>
          </a:extLst>
        </xdr:cNvPr>
        <xdr:cNvGrpSpPr/>
      </xdr:nvGrpSpPr>
      <xdr:grpSpPr>
        <a:xfrm>
          <a:off x="6830643" y="797718"/>
          <a:ext cx="735063" cy="986126"/>
          <a:chOff x="5153024" y="857249"/>
          <a:chExt cx="638175" cy="926595"/>
        </a:xfrm>
      </xdr:grpSpPr>
      <xdr:sp macro="" textlink="">
        <xdr:nvSpPr>
          <xdr:cNvPr id="123" name="Oval 122">
            <a:extLst>
              <a:ext uri="{FF2B5EF4-FFF2-40B4-BE49-F238E27FC236}">
                <a16:creationId xmlns:a16="http://schemas.microsoft.com/office/drawing/2014/main" id="{00000000-0008-0000-0500-00007B000000}"/>
              </a:ext>
            </a:extLst>
          </xdr:cNvPr>
          <xdr:cNvSpPr/>
        </xdr:nvSpPr>
        <xdr:spPr>
          <a:xfrm>
            <a:off x="51530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24" name="TextBox 123">
            <a:extLst>
              <a:ext uri="{FF2B5EF4-FFF2-40B4-BE49-F238E27FC236}">
                <a16:creationId xmlns:a16="http://schemas.microsoft.com/office/drawing/2014/main" id="{00000000-0008-0000-0500-00007C000000}"/>
              </a:ext>
            </a:extLst>
          </xdr:cNvPr>
          <xdr:cNvSpPr txBox="1"/>
        </xdr:nvSpPr>
        <xdr:spPr>
          <a:xfrm>
            <a:off x="5205175" y="1514475"/>
            <a:ext cx="5783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Value</a:t>
            </a:r>
          </a:p>
        </xdr:txBody>
      </xdr:sp>
      <xdr:pic>
        <xdr:nvPicPr>
          <xdr:cNvPr id="125" name="Graphic 124" descr="Diamond">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5272051" y="995326"/>
            <a:ext cx="416774" cy="416774"/>
          </a:xfrm>
          <a:prstGeom prst="rect">
            <a:avLst/>
          </a:prstGeom>
        </xdr:spPr>
      </xdr:pic>
    </xdr:grpSp>
    <xdr:clientData/>
  </xdr:twoCellAnchor>
  <xdr:twoCellAnchor editAs="absolute">
    <xdr:from>
      <xdr:col>9</xdr:col>
      <xdr:colOff>1251857</xdr:colOff>
      <xdr:row>1</xdr:row>
      <xdr:rowOff>190499</xdr:rowOff>
    </xdr:from>
    <xdr:to>
      <xdr:col>9</xdr:col>
      <xdr:colOff>2115857</xdr:colOff>
      <xdr:row>6</xdr:row>
      <xdr:rowOff>161419</xdr:rowOff>
    </xdr:to>
    <xdr:grpSp>
      <xdr:nvGrpSpPr>
        <xdr:cNvPr id="126" name="Group 125">
          <a:hlinkClick xmlns:r="http://schemas.openxmlformats.org/officeDocument/2006/relationships" r:id="rId21"/>
          <a:extLst>
            <a:ext uri="{FF2B5EF4-FFF2-40B4-BE49-F238E27FC236}">
              <a16:creationId xmlns:a16="http://schemas.microsoft.com/office/drawing/2014/main" id="{00000000-0008-0000-0500-00007E000000}"/>
            </a:ext>
          </a:extLst>
        </xdr:cNvPr>
        <xdr:cNvGrpSpPr/>
      </xdr:nvGrpSpPr>
      <xdr:grpSpPr>
        <a:xfrm>
          <a:off x="10821307" y="797718"/>
          <a:ext cx="867175" cy="986126"/>
          <a:chOff x="8181975" y="857249"/>
          <a:chExt cx="792012" cy="926595"/>
        </a:xfrm>
      </xdr:grpSpPr>
      <xdr:sp macro="" textlink="">
        <xdr:nvSpPr>
          <xdr:cNvPr id="127" name="Oval 126">
            <a:extLst>
              <a:ext uri="{FF2B5EF4-FFF2-40B4-BE49-F238E27FC236}">
                <a16:creationId xmlns:a16="http://schemas.microsoft.com/office/drawing/2014/main" id="{00000000-0008-0000-0500-00007F000000}"/>
              </a:ext>
            </a:extLst>
          </xdr:cNvPr>
          <xdr:cNvSpPr/>
        </xdr:nvSpPr>
        <xdr:spPr>
          <a:xfrm>
            <a:off x="8248649"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28" name="TextBox 127">
            <a:extLst>
              <a:ext uri="{FF2B5EF4-FFF2-40B4-BE49-F238E27FC236}">
                <a16:creationId xmlns:a16="http://schemas.microsoft.com/office/drawing/2014/main" id="{00000000-0008-0000-0500-000080000000}"/>
              </a:ext>
            </a:extLst>
          </xdr:cNvPr>
          <xdr:cNvSpPr txBox="1"/>
        </xdr:nvSpPr>
        <xdr:spPr>
          <a:xfrm>
            <a:off x="8181975" y="1514475"/>
            <a:ext cx="79201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Contacts</a:t>
            </a:r>
          </a:p>
        </xdr:txBody>
      </xdr:sp>
      <xdr:pic>
        <xdr:nvPicPr>
          <xdr:cNvPr id="129" name="Graphic 128" descr="Target Audience">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8365276" y="973876"/>
            <a:ext cx="416774" cy="416774"/>
          </a:xfrm>
          <a:prstGeom prst="rect">
            <a:avLst/>
          </a:prstGeom>
        </xdr:spPr>
      </xdr:pic>
    </xdr:grpSp>
    <xdr:clientData/>
  </xdr:twoCellAnchor>
  <xdr:twoCellAnchor editAs="absolute">
    <xdr:from>
      <xdr:col>9</xdr:col>
      <xdr:colOff>3657599</xdr:colOff>
      <xdr:row>0</xdr:row>
      <xdr:rowOff>371475</xdr:rowOff>
    </xdr:from>
    <xdr:to>
      <xdr:col>11</xdr:col>
      <xdr:colOff>66675</xdr:colOff>
      <xdr:row>1</xdr:row>
      <xdr:rowOff>43115</xdr:rowOff>
    </xdr:to>
    <xdr:grpSp>
      <xdr:nvGrpSpPr>
        <xdr:cNvPr id="131" name="Group 130">
          <a:hlinkClick xmlns:r="http://schemas.openxmlformats.org/officeDocument/2006/relationships" r:id="rId24"/>
          <a:extLst>
            <a:ext uri="{FF2B5EF4-FFF2-40B4-BE49-F238E27FC236}">
              <a16:creationId xmlns:a16="http://schemas.microsoft.com/office/drawing/2014/main" id="{00000000-0008-0000-0500-000083000000}"/>
            </a:ext>
          </a:extLst>
        </xdr:cNvPr>
        <xdr:cNvGrpSpPr/>
      </xdr:nvGrpSpPr>
      <xdr:grpSpPr>
        <a:xfrm>
          <a:off x="13230224" y="368300"/>
          <a:ext cx="1239839" cy="285209"/>
          <a:chOff x="12792075" y="371475"/>
          <a:chExt cx="1019176" cy="281240"/>
        </a:xfrm>
      </xdr:grpSpPr>
      <xdr:pic>
        <xdr:nvPicPr>
          <xdr:cNvPr id="132" name="Graphic 131" descr="Link">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12792075" y="419100"/>
            <a:ext cx="182880" cy="182880"/>
          </a:xfrm>
          <a:prstGeom prst="rect">
            <a:avLst/>
          </a:prstGeom>
        </xdr:spPr>
      </xdr:pic>
      <xdr:sp macro="" textlink="">
        <xdr:nvSpPr>
          <xdr:cNvPr id="133" name="TextBox 132">
            <a:extLst>
              <a:ext uri="{FF2B5EF4-FFF2-40B4-BE49-F238E27FC236}">
                <a16:creationId xmlns:a16="http://schemas.microsoft.com/office/drawing/2014/main" id="{00000000-0008-0000-0500-000085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absolute">
    <xdr:from>
      <xdr:col>4</xdr:col>
      <xdr:colOff>38100</xdr:colOff>
      <xdr:row>0</xdr:row>
      <xdr:rowOff>333375</xdr:rowOff>
    </xdr:from>
    <xdr:to>
      <xdr:col>4</xdr:col>
      <xdr:colOff>762000</xdr:colOff>
      <xdr:row>1</xdr:row>
      <xdr:rowOff>38100</xdr:rowOff>
    </xdr:to>
    <xdr:sp macro="" textlink="">
      <xdr:nvSpPr>
        <xdr:cNvPr id="134" name="TextBox 133">
          <a:extLst>
            <a:ext uri="{FF2B5EF4-FFF2-40B4-BE49-F238E27FC236}">
              <a16:creationId xmlns:a16="http://schemas.microsoft.com/office/drawing/2014/main" id="{00000000-0008-0000-0500-000086000000}"/>
            </a:ext>
          </a:extLst>
        </xdr:cNvPr>
        <xdr:cNvSpPr txBox="1"/>
      </xdr:nvSpPr>
      <xdr:spPr>
        <a:xfrm>
          <a:off x="2771775" y="333375"/>
          <a:ext cx="723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4</xdr:col>
      <xdr:colOff>561974</xdr:colOff>
      <xdr:row>0</xdr:row>
      <xdr:rowOff>333375</xdr:rowOff>
    </xdr:from>
    <xdr:to>
      <xdr:col>4</xdr:col>
      <xdr:colOff>3124200</xdr:colOff>
      <xdr:row>1</xdr:row>
      <xdr:rowOff>38100</xdr:rowOff>
    </xdr:to>
    <xdr:sp macro="" textlink="'1-Description'!E31">
      <xdr:nvSpPr>
        <xdr:cNvPr id="135" name="TextBox 134">
          <a:extLst>
            <a:ext uri="{FF2B5EF4-FFF2-40B4-BE49-F238E27FC236}">
              <a16:creationId xmlns:a16="http://schemas.microsoft.com/office/drawing/2014/main" id="{00000000-0008-0000-0500-000087000000}"/>
            </a:ext>
          </a:extLst>
        </xdr:cNvPr>
        <xdr:cNvSpPr txBox="1"/>
      </xdr:nvSpPr>
      <xdr:spPr>
        <a:xfrm>
          <a:off x="3295649" y="333375"/>
          <a:ext cx="25622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Post-MVP/Pre-depl. assessment</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twoCellAnchor>
    <xdr:from>
      <xdr:col>1</xdr:col>
      <xdr:colOff>190501</xdr:colOff>
      <xdr:row>40</xdr:row>
      <xdr:rowOff>47624</xdr:rowOff>
    </xdr:from>
    <xdr:to>
      <xdr:col>5</xdr:col>
      <xdr:colOff>247650</xdr:colOff>
      <xdr:row>62</xdr:row>
      <xdr:rowOff>38100</xdr:rowOff>
    </xdr:to>
    <xdr:graphicFrame macro="">
      <xdr:nvGraphicFramePr>
        <xdr:cNvPr id="141" name="Chart 140">
          <a:extLst>
            <a:ext uri="{FF2B5EF4-FFF2-40B4-BE49-F238E27FC236}">
              <a16:creationId xmlns:a16="http://schemas.microsoft.com/office/drawing/2014/main" id="{00000000-0008-0000-0500-00008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428626</xdr:colOff>
      <xdr:row>40</xdr:row>
      <xdr:rowOff>47624</xdr:rowOff>
    </xdr:from>
    <xdr:to>
      <xdr:col>10</xdr:col>
      <xdr:colOff>428625</xdr:colOff>
      <xdr:row>62</xdr:row>
      <xdr:rowOff>38100</xdr:rowOff>
    </xdr:to>
    <xdr:graphicFrame macro="">
      <xdr:nvGraphicFramePr>
        <xdr:cNvPr id="144" name="Chart 143">
          <a:extLst>
            <a:ext uri="{FF2B5EF4-FFF2-40B4-BE49-F238E27FC236}">
              <a16:creationId xmlns:a16="http://schemas.microsoft.com/office/drawing/2014/main" id="{00000000-0008-0000-0500-00009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180976</xdr:colOff>
      <xdr:row>62</xdr:row>
      <xdr:rowOff>247650</xdr:rowOff>
    </xdr:from>
    <xdr:to>
      <xdr:col>5</xdr:col>
      <xdr:colOff>228982</xdr:colOff>
      <xdr:row>73</xdr:row>
      <xdr:rowOff>190119</xdr:rowOff>
    </xdr:to>
    <xdr:graphicFrame macro="">
      <xdr:nvGraphicFramePr>
        <xdr:cNvPr id="17" name="Chart 16">
          <a:extLst>
            <a:ext uri="{FF2B5EF4-FFF2-40B4-BE49-F238E27FC236}">
              <a16:creationId xmlns:a16="http://schemas.microsoft.com/office/drawing/2014/main" id="{00000000-0008-0000-05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416300</xdr:colOff>
      <xdr:row>62</xdr:row>
      <xdr:rowOff>247650</xdr:rowOff>
    </xdr:from>
    <xdr:to>
      <xdr:col>10</xdr:col>
      <xdr:colOff>419482</xdr:colOff>
      <xdr:row>73</xdr:row>
      <xdr:rowOff>190119</xdr:rowOff>
    </xdr:to>
    <xdr:graphicFrame macro="">
      <xdr:nvGraphicFramePr>
        <xdr:cNvPr id="67" name="Chart 66">
          <a:extLst>
            <a:ext uri="{FF2B5EF4-FFF2-40B4-BE49-F238E27FC236}">
              <a16:creationId xmlns:a16="http://schemas.microsoft.com/office/drawing/2014/main" id="{00000000-0008-0000-05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1278421</xdr:colOff>
      <xdr:row>19</xdr:row>
      <xdr:rowOff>109331</xdr:rowOff>
    </xdr:from>
    <xdr:to>
      <xdr:col>4</xdr:col>
      <xdr:colOff>1623390</xdr:colOff>
      <xdr:row>20</xdr:row>
      <xdr:rowOff>16566</xdr:rowOff>
    </xdr:to>
    <xdr:sp macro="" textlink="'0-Home'!N2">
      <xdr:nvSpPr>
        <xdr:cNvPr id="68" name="TextBox 67">
          <a:extLst>
            <a:ext uri="{FF2B5EF4-FFF2-40B4-BE49-F238E27FC236}">
              <a16:creationId xmlns:a16="http://schemas.microsoft.com/office/drawing/2014/main" id="{00000000-0008-0000-0500-000044000000}"/>
            </a:ext>
          </a:extLst>
        </xdr:cNvPr>
        <xdr:cNvSpPr txBox="1"/>
      </xdr:nvSpPr>
      <xdr:spPr>
        <a:xfrm>
          <a:off x="4011682" y="4209222"/>
          <a:ext cx="344969" cy="27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652AB6E7-8947-4736-A7F6-C0BF77D953E7}" type="TxLink">
            <a:rPr lang="en-US" sz="1600" b="1" i="0" u="none" strike="noStrike">
              <a:solidFill>
                <a:schemeClr val="tx1"/>
              </a:solidFill>
              <a:latin typeface="Arial" panose="020B0604020202020204" pitchFamily="34" charset="0"/>
              <a:cs typeface="Arial" panose="020B0604020202020204" pitchFamily="34" charset="0"/>
            </a:rPr>
            <a:pPr algn="l"/>
            <a:t>€</a:t>
          </a:fld>
          <a:endParaRPr lang="en-US" sz="5400" b="1">
            <a:solidFill>
              <a:schemeClr val="tx1"/>
            </a:solidFill>
            <a:latin typeface="Arial" panose="020B0604020202020204" pitchFamily="34" charset="0"/>
            <a:cs typeface="Arial" panose="020B0604020202020204" pitchFamily="34" charset="0"/>
          </a:endParaRPr>
        </a:p>
      </xdr:txBody>
    </xdr:sp>
    <xdr:clientData fPrintsWithSheet="0"/>
  </xdr:twoCellAnchor>
  <xdr:twoCellAnchor>
    <xdr:from>
      <xdr:col>4</xdr:col>
      <xdr:colOff>3435213</xdr:colOff>
      <xdr:row>19</xdr:row>
      <xdr:rowOff>112644</xdr:rowOff>
    </xdr:from>
    <xdr:to>
      <xdr:col>4</xdr:col>
      <xdr:colOff>3780182</xdr:colOff>
      <xdr:row>20</xdr:row>
      <xdr:rowOff>19879</xdr:rowOff>
    </xdr:to>
    <xdr:sp macro="" textlink="'0-Home'!N2">
      <xdr:nvSpPr>
        <xdr:cNvPr id="69" name="TextBox 68">
          <a:extLst>
            <a:ext uri="{FF2B5EF4-FFF2-40B4-BE49-F238E27FC236}">
              <a16:creationId xmlns:a16="http://schemas.microsoft.com/office/drawing/2014/main" id="{00000000-0008-0000-0500-000045000000}"/>
            </a:ext>
          </a:extLst>
        </xdr:cNvPr>
        <xdr:cNvSpPr txBox="1"/>
      </xdr:nvSpPr>
      <xdr:spPr>
        <a:xfrm>
          <a:off x="6168474" y="4212535"/>
          <a:ext cx="344969" cy="27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652AB6E7-8947-4736-A7F6-C0BF77D953E7}" type="TxLink">
            <a:rPr lang="en-US" sz="1600" b="1" i="0" u="none" strike="noStrike">
              <a:solidFill>
                <a:schemeClr val="tx1"/>
              </a:solidFill>
              <a:latin typeface="Arial" panose="020B0604020202020204" pitchFamily="34" charset="0"/>
              <a:cs typeface="Arial" panose="020B0604020202020204" pitchFamily="34" charset="0"/>
            </a:rPr>
            <a:pPr algn="l"/>
            <a:t>€</a:t>
          </a:fld>
          <a:endParaRPr lang="en-US" sz="5400" b="1">
            <a:solidFill>
              <a:schemeClr val="tx1"/>
            </a:solidFill>
            <a:latin typeface="Arial" panose="020B0604020202020204" pitchFamily="34" charset="0"/>
            <a:cs typeface="Arial" panose="020B0604020202020204" pitchFamily="34" charset="0"/>
          </a:endParaRPr>
        </a:p>
      </xdr:txBody>
    </xdr:sp>
    <xdr:clientData fPrintsWithSheet="0"/>
  </xdr:twoCellAnchor>
  <xdr:twoCellAnchor>
    <xdr:from>
      <xdr:col>1</xdr:col>
      <xdr:colOff>333375</xdr:colOff>
      <xdr:row>22</xdr:row>
      <xdr:rowOff>104775</xdr:rowOff>
    </xdr:from>
    <xdr:to>
      <xdr:col>2</xdr:col>
      <xdr:colOff>19050</xdr:colOff>
      <xdr:row>23</xdr:row>
      <xdr:rowOff>161925</xdr:rowOff>
    </xdr:to>
    <xdr:sp macro="" textlink="'0-Home'!N3">
      <xdr:nvSpPr>
        <xdr:cNvPr id="25" name="TextBox 24">
          <a:extLst>
            <a:ext uri="{FF2B5EF4-FFF2-40B4-BE49-F238E27FC236}">
              <a16:creationId xmlns:a16="http://schemas.microsoft.com/office/drawing/2014/main" id="{00000000-0008-0000-0500-000019000000}"/>
            </a:ext>
          </a:extLst>
        </xdr:cNvPr>
        <xdr:cNvSpPr txBox="1"/>
      </xdr:nvSpPr>
      <xdr:spPr>
        <a:xfrm>
          <a:off x="723900" y="4981575"/>
          <a:ext cx="5429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E81BFB-C1E0-4737-9A40-53D270ABEFF8}" type="TxLink">
            <a:rPr lang="en-US" sz="1100" b="0" i="0" u="none" strike="noStrike">
              <a:solidFill>
                <a:schemeClr val="tx1"/>
              </a:solidFill>
              <a:latin typeface="Arial" panose="020B0604020202020204" pitchFamily="34" charset="0"/>
              <a:ea typeface="+mn-ea"/>
              <a:cs typeface="Arial" panose="020B0604020202020204" pitchFamily="34" charset="0"/>
            </a:rPr>
            <a:pPr marL="0" indent="0" algn="l"/>
            <a:t>In €</a:t>
          </a:fld>
          <a:endParaRPr lang="en-US" sz="1100" b="0" i="0" u="none" strike="noStrike">
            <a:solidFill>
              <a:schemeClr val="tx1"/>
            </a:solidFill>
            <a:latin typeface="Arial" panose="020B0604020202020204" pitchFamily="34" charset="0"/>
            <a:ea typeface="+mn-ea"/>
            <a:cs typeface="Arial" panose="020B0604020202020204" pitchFamily="34" charset="0"/>
          </a:endParaRPr>
        </a:p>
      </xdr:txBody>
    </xdr:sp>
    <xdr:clientData fPrintsWithSheet="0"/>
  </xdr:twoCellAnchor>
  <xdr:twoCellAnchor>
    <xdr:from>
      <xdr:col>5</xdr:col>
      <xdr:colOff>581025</xdr:colOff>
      <xdr:row>22</xdr:row>
      <xdr:rowOff>104775</xdr:rowOff>
    </xdr:from>
    <xdr:to>
      <xdr:col>7</xdr:col>
      <xdr:colOff>57150</xdr:colOff>
      <xdr:row>23</xdr:row>
      <xdr:rowOff>161925</xdr:rowOff>
    </xdr:to>
    <xdr:sp macro="" textlink="'0-Home'!N3">
      <xdr:nvSpPr>
        <xdr:cNvPr id="76" name="TextBox 75">
          <a:extLst>
            <a:ext uri="{FF2B5EF4-FFF2-40B4-BE49-F238E27FC236}">
              <a16:creationId xmlns:a16="http://schemas.microsoft.com/office/drawing/2014/main" id="{00000000-0008-0000-0500-00004C000000}"/>
            </a:ext>
          </a:extLst>
        </xdr:cNvPr>
        <xdr:cNvSpPr txBox="1"/>
      </xdr:nvSpPr>
      <xdr:spPr>
        <a:xfrm>
          <a:off x="7315200" y="4981575"/>
          <a:ext cx="5429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E81BFB-C1E0-4737-9A40-53D270ABEFF8}" type="TxLink">
            <a:rPr lang="en-US" sz="1100" b="0" i="0" u="none" strike="noStrike">
              <a:solidFill>
                <a:schemeClr val="tx1"/>
              </a:solidFill>
              <a:latin typeface="Arial" panose="020B0604020202020204" pitchFamily="34" charset="0"/>
              <a:ea typeface="+mn-ea"/>
              <a:cs typeface="Arial" panose="020B0604020202020204" pitchFamily="34" charset="0"/>
            </a:rPr>
            <a:pPr marL="0" indent="0" algn="l"/>
            <a:t>In €</a:t>
          </a:fld>
          <a:endParaRPr lang="en-US" sz="1100" b="0" i="0" u="none" strike="noStrike">
            <a:solidFill>
              <a:schemeClr val="tx1"/>
            </a:solidFill>
            <a:latin typeface="Arial" panose="020B0604020202020204" pitchFamily="34" charset="0"/>
            <a:ea typeface="+mn-ea"/>
            <a:cs typeface="Arial" panose="020B0604020202020204" pitchFamily="34" charset="0"/>
          </a:endParaRPr>
        </a:p>
      </xdr:txBody>
    </xdr:sp>
    <xdr:clientData fPrintsWithSheet="0"/>
  </xdr:twoCellAnchor>
  <xdr:twoCellAnchor>
    <xdr:from>
      <xdr:col>1</xdr:col>
      <xdr:colOff>333375</xdr:colOff>
      <xdr:row>41</xdr:row>
      <xdr:rowOff>0</xdr:rowOff>
    </xdr:from>
    <xdr:to>
      <xdr:col>2</xdr:col>
      <xdr:colOff>19050</xdr:colOff>
      <xdr:row>42</xdr:row>
      <xdr:rowOff>57150</xdr:rowOff>
    </xdr:to>
    <xdr:sp macro="" textlink="'0-Home'!N3">
      <xdr:nvSpPr>
        <xdr:cNvPr id="77" name="TextBox 76">
          <a:extLst>
            <a:ext uri="{FF2B5EF4-FFF2-40B4-BE49-F238E27FC236}">
              <a16:creationId xmlns:a16="http://schemas.microsoft.com/office/drawing/2014/main" id="{00000000-0008-0000-0500-00004D000000}"/>
            </a:ext>
          </a:extLst>
        </xdr:cNvPr>
        <xdr:cNvSpPr txBox="1"/>
      </xdr:nvSpPr>
      <xdr:spPr>
        <a:xfrm>
          <a:off x="723900" y="8677275"/>
          <a:ext cx="5429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E81BFB-C1E0-4737-9A40-53D270ABEFF8}" type="TxLink">
            <a:rPr lang="en-US" sz="1100" b="0" i="0" u="none" strike="noStrike">
              <a:solidFill>
                <a:schemeClr val="tx1"/>
              </a:solidFill>
              <a:latin typeface="Arial" panose="020B0604020202020204" pitchFamily="34" charset="0"/>
              <a:ea typeface="+mn-ea"/>
              <a:cs typeface="Arial" panose="020B0604020202020204" pitchFamily="34" charset="0"/>
            </a:rPr>
            <a:pPr marL="0" indent="0" algn="l"/>
            <a:t>In €</a:t>
          </a:fld>
          <a:endParaRPr lang="en-US" sz="1100" b="0" i="0" u="none" strike="noStrike">
            <a:solidFill>
              <a:schemeClr val="tx1"/>
            </a:solidFill>
            <a:latin typeface="Arial" panose="020B0604020202020204" pitchFamily="34" charset="0"/>
            <a:ea typeface="+mn-ea"/>
            <a:cs typeface="Arial" panose="020B0604020202020204" pitchFamily="34" charset="0"/>
          </a:endParaRPr>
        </a:p>
      </xdr:txBody>
    </xdr:sp>
    <xdr:clientData fPrintsWithSheet="0"/>
  </xdr:twoCellAnchor>
  <xdr:twoCellAnchor>
    <xdr:from>
      <xdr:col>5</xdr:col>
      <xdr:colOff>581025</xdr:colOff>
      <xdr:row>41</xdr:row>
      <xdr:rowOff>0</xdr:rowOff>
    </xdr:from>
    <xdr:to>
      <xdr:col>7</xdr:col>
      <xdr:colOff>57150</xdr:colOff>
      <xdr:row>42</xdr:row>
      <xdr:rowOff>57150</xdr:rowOff>
    </xdr:to>
    <xdr:sp macro="" textlink="'0-Home'!N3">
      <xdr:nvSpPr>
        <xdr:cNvPr id="78" name="TextBox 77">
          <a:extLst>
            <a:ext uri="{FF2B5EF4-FFF2-40B4-BE49-F238E27FC236}">
              <a16:creationId xmlns:a16="http://schemas.microsoft.com/office/drawing/2014/main" id="{00000000-0008-0000-0500-00004E000000}"/>
            </a:ext>
          </a:extLst>
        </xdr:cNvPr>
        <xdr:cNvSpPr txBox="1"/>
      </xdr:nvSpPr>
      <xdr:spPr>
        <a:xfrm>
          <a:off x="7315200" y="8677275"/>
          <a:ext cx="5429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E81BFB-C1E0-4737-9A40-53D270ABEFF8}" type="TxLink">
            <a:rPr lang="en-US" sz="1100" b="0" i="0" u="none" strike="noStrike">
              <a:solidFill>
                <a:schemeClr val="tx1"/>
              </a:solidFill>
              <a:latin typeface="Arial" panose="020B0604020202020204" pitchFamily="34" charset="0"/>
              <a:ea typeface="+mn-ea"/>
              <a:cs typeface="Arial" panose="020B0604020202020204" pitchFamily="34" charset="0"/>
            </a:rPr>
            <a:pPr marL="0" indent="0" algn="l"/>
            <a:t>In €</a:t>
          </a:fld>
          <a:endParaRPr lang="en-US" sz="1100" b="0" i="0" u="none" strike="noStrike">
            <a:solidFill>
              <a:schemeClr val="tx1"/>
            </a:solidFill>
            <a:latin typeface="Arial" panose="020B0604020202020204" pitchFamily="34" charset="0"/>
            <a:ea typeface="+mn-ea"/>
            <a:cs typeface="Arial" panose="020B0604020202020204" pitchFamily="34" charset="0"/>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14</xdr:col>
      <xdr:colOff>606879</xdr:colOff>
      <xdr:row>6</xdr:row>
      <xdr:rowOff>195939</xdr:rowOff>
    </xdr:from>
    <xdr:to>
      <xdr:col>14</xdr:col>
      <xdr:colOff>606879</xdr:colOff>
      <xdr:row>22</xdr:row>
      <xdr:rowOff>169269</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13741854" y="1805664"/>
          <a:ext cx="0" cy="580263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606879</xdr:colOff>
      <xdr:row>1</xdr:row>
      <xdr:rowOff>8159</xdr:rowOff>
    </xdr:from>
    <xdr:to>
      <xdr:col>14</xdr:col>
      <xdr:colOff>606879</xdr:colOff>
      <xdr:row>6</xdr:row>
      <xdr:rowOff>189950</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a:off x="1374185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22</xdr:row>
      <xdr:rowOff>180975</xdr:rowOff>
    </xdr:from>
    <xdr:to>
      <xdr:col>15</xdr:col>
      <xdr:colOff>45983</xdr:colOff>
      <xdr:row>22</xdr:row>
      <xdr:rowOff>180975</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a:off x="390525" y="7620000"/>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2</xdr:rowOff>
    </xdr:from>
    <xdr:to>
      <xdr:col>2</xdr:col>
      <xdr:colOff>952500</xdr:colOff>
      <xdr:row>9</xdr:row>
      <xdr:rowOff>314325</xdr:rowOff>
    </xdr:to>
    <xdr:sp macro="" textlink="">
      <xdr:nvSpPr>
        <xdr:cNvPr id="6" name="Right Triangle 5">
          <a:extLst>
            <a:ext uri="{FF2B5EF4-FFF2-40B4-BE49-F238E27FC236}">
              <a16:creationId xmlns:a16="http://schemas.microsoft.com/office/drawing/2014/main" id="{00000000-0008-0000-0600-000006000000}"/>
            </a:ext>
          </a:extLst>
        </xdr:cNvPr>
        <xdr:cNvSpPr/>
      </xdr:nvSpPr>
      <xdr:spPr>
        <a:xfrm rot="5400000">
          <a:off x="-190499" y="190501"/>
          <a:ext cx="25907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7" name="Right Triangle 6">
          <a:extLst>
            <a:ext uri="{FF2B5EF4-FFF2-40B4-BE49-F238E27FC236}">
              <a16:creationId xmlns:a16="http://schemas.microsoft.com/office/drawing/2014/main" id="{00000000-0008-0000-0600-000007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389280</xdr:colOff>
      <xdr:row>1</xdr:row>
      <xdr:rowOff>8281</xdr:rowOff>
    </xdr:from>
    <xdr:to>
      <xdr:col>4</xdr:col>
      <xdr:colOff>105816</xdr:colOff>
      <xdr:row>7</xdr:row>
      <xdr:rowOff>0</xdr:rowOff>
    </xdr:to>
    <xdr:sp macro="" textlink="">
      <xdr:nvSpPr>
        <xdr:cNvPr id="8" name="Rectangle 7">
          <a:extLst>
            <a:ext uri="{FF2B5EF4-FFF2-40B4-BE49-F238E27FC236}">
              <a16:creationId xmlns:a16="http://schemas.microsoft.com/office/drawing/2014/main" id="{00000000-0008-0000-0600-000008000000}"/>
            </a:ext>
          </a:extLst>
        </xdr:cNvPr>
        <xdr:cNvSpPr/>
      </xdr:nvSpPr>
      <xdr:spPr>
        <a:xfrm>
          <a:off x="389280" y="617881"/>
          <a:ext cx="2459736" cy="1134719"/>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3</xdr:col>
      <xdr:colOff>152401</xdr:colOff>
      <xdr:row>5</xdr:row>
      <xdr:rowOff>77618</xdr:rowOff>
    </xdr:to>
    <xdr:pic>
      <xdr:nvPicPr>
        <xdr:cNvPr id="9" name="Graphic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10" name="Graphic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22</xdr:row>
      <xdr:rowOff>0</xdr:rowOff>
    </xdr:from>
    <xdr:to>
      <xdr:col>6</xdr:col>
      <xdr:colOff>1905</xdr:colOff>
      <xdr:row>22</xdr:row>
      <xdr:rowOff>0</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5049838" y="6155531"/>
          <a:ext cx="119380" cy="0"/>
          <a:chOff x="7772400" y="13287375"/>
          <a:chExt cx="304800" cy="304800"/>
        </a:xfrm>
      </xdr:grpSpPr>
      <xdr:sp macro="" textlink="">
        <xdr:nvSpPr>
          <xdr:cNvPr id="12" name="Oval 11">
            <a:extLst>
              <a:ext uri="{FF2B5EF4-FFF2-40B4-BE49-F238E27FC236}">
                <a16:creationId xmlns:a16="http://schemas.microsoft.com/office/drawing/2014/main" id="{00000000-0008-0000-0600-00000C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3" name="Graphic 12" descr="Information">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17" name="Right Triangle 16">
          <a:extLst>
            <a:ext uri="{FF2B5EF4-FFF2-40B4-BE49-F238E27FC236}">
              <a16:creationId xmlns:a16="http://schemas.microsoft.com/office/drawing/2014/main" id="{00000000-0008-0000-0600-000011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xdr:colOff>
      <xdr:row>7</xdr:row>
      <xdr:rowOff>0</xdr:rowOff>
    </xdr:from>
    <xdr:to>
      <xdr:col>1</xdr:col>
      <xdr:colOff>419100</xdr:colOff>
      <xdr:row>8</xdr:row>
      <xdr:rowOff>247650</xdr:rowOff>
    </xdr:to>
    <xdr:sp macro="" textlink="">
      <xdr:nvSpPr>
        <xdr:cNvPr id="37" name="Right Triangle 36">
          <a:extLst>
            <a:ext uri="{FF2B5EF4-FFF2-40B4-BE49-F238E27FC236}">
              <a16:creationId xmlns:a16="http://schemas.microsoft.com/office/drawing/2014/main" id="{00000000-0008-0000-0600-000025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28575</xdr:colOff>
      <xdr:row>0</xdr:row>
      <xdr:rowOff>123825</xdr:rowOff>
    </xdr:from>
    <xdr:to>
      <xdr:col>1</xdr:col>
      <xdr:colOff>552450</xdr:colOff>
      <xdr:row>1</xdr:row>
      <xdr:rowOff>38100</xdr:rowOff>
    </xdr:to>
    <xdr:pic>
      <xdr:nvPicPr>
        <xdr:cNvPr id="41" name="Graphic 40" descr="Home">
          <a:hlinkClick xmlns:r="http://schemas.openxmlformats.org/officeDocument/2006/relationships" r:id="rId7"/>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19100" y="123825"/>
          <a:ext cx="523875" cy="523875"/>
        </a:xfrm>
        <a:prstGeom prst="rect">
          <a:avLst/>
        </a:prstGeom>
      </xdr:spPr>
    </xdr:pic>
    <xdr:clientData/>
  </xdr:twoCellAnchor>
  <xdr:twoCellAnchor editAs="absolute">
    <xdr:from>
      <xdr:col>13</xdr:col>
      <xdr:colOff>676275</xdr:colOff>
      <xdr:row>1</xdr:row>
      <xdr:rowOff>171450</xdr:rowOff>
    </xdr:from>
    <xdr:to>
      <xdr:col>13</xdr:col>
      <xdr:colOff>1314450</xdr:colOff>
      <xdr:row>6</xdr:row>
      <xdr:rowOff>156381</xdr:rowOff>
    </xdr:to>
    <xdr:grpSp>
      <xdr:nvGrpSpPr>
        <xdr:cNvPr id="50" name="Group 49">
          <a:hlinkClick xmlns:r="http://schemas.openxmlformats.org/officeDocument/2006/relationships" r:id="rId10"/>
          <a:extLst>
            <a:ext uri="{FF2B5EF4-FFF2-40B4-BE49-F238E27FC236}">
              <a16:creationId xmlns:a16="http://schemas.microsoft.com/office/drawing/2014/main" id="{00000000-0008-0000-0600-000032000000}"/>
            </a:ext>
          </a:extLst>
        </xdr:cNvPr>
        <xdr:cNvGrpSpPr/>
      </xdr:nvGrpSpPr>
      <xdr:grpSpPr>
        <a:xfrm>
          <a:off x="12412663" y="778669"/>
          <a:ext cx="641350" cy="1000137"/>
          <a:chOff x="5791200" y="790575"/>
          <a:chExt cx="638175" cy="937431"/>
        </a:xfrm>
      </xdr:grpSpPr>
      <xdr:grpSp>
        <xdr:nvGrpSpPr>
          <xdr:cNvPr id="51" name="Group 50">
            <a:extLst>
              <a:ext uri="{FF2B5EF4-FFF2-40B4-BE49-F238E27FC236}">
                <a16:creationId xmlns:a16="http://schemas.microsoft.com/office/drawing/2014/main" id="{00000000-0008-0000-0600-000033000000}"/>
              </a:ext>
            </a:extLst>
          </xdr:cNvPr>
          <xdr:cNvGrpSpPr/>
        </xdr:nvGrpSpPr>
        <xdr:grpSpPr>
          <a:xfrm>
            <a:off x="5791200" y="790575"/>
            <a:ext cx="638175" cy="937431"/>
            <a:chOff x="3409950" y="857249"/>
            <a:chExt cx="638175" cy="937431"/>
          </a:xfrm>
        </xdr:grpSpPr>
        <xdr:sp macro="" textlink="">
          <xdr:nvSpPr>
            <xdr:cNvPr id="53" name="Oval 52">
              <a:extLst>
                <a:ext uri="{FF2B5EF4-FFF2-40B4-BE49-F238E27FC236}">
                  <a16:creationId xmlns:a16="http://schemas.microsoft.com/office/drawing/2014/main" id="{00000000-0008-0000-0600-000035000000}"/>
                </a:ext>
              </a:extLst>
            </xdr:cNvPr>
            <xdr:cNvSpPr/>
          </xdr:nvSpPr>
          <xdr:spPr>
            <a:xfrm>
              <a:off x="3409950"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TextBox 53">
              <a:extLst>
                <a:ext uri="{FF2B5EF4-FFF2-40B4-BE49-F238E27FC236}">
                  <a16:creationId xmlns:a16="http://schemas.microsoft.com/office/drawing/2014/main" id="{00000000-0008-0000-0600-000036000000}"/>
                </a:ext>
              </a:extLst>
            </xdr:cNvPr>
            <xdr:cNvSpPr txBox="1"/>
          </xdr:nvSpPr>
          <xdr:spPr>
            <a:xfrm>
              <a:off x="3472685" y="1514475"/>
              <a:ext cx="51270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Calibri Light" panose="020F0302020204030204" pitchFamily="34" charset="0"/>
                  <a:cs typeface="Calibri Light" panose="020F0302020204030204" pitchFamily="34" charset="0"/>
                </a:rPr>
                <a:t>Input</a:t>
              </a:r>
            </a:p>
          </xdr:txBody>
        </xdr:sp>
      </xdr:grpSp>
      <xdr:pic>
        <xdr:nvPicPr>
          <xdr:cNvPr id="52" name="Graphic 51" descr="Pencil">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5943600" y="933450"/>
            <a:ext cx="365760" cy="365760"/>
          </a:xfrm>
          <a:prstGeom prst="rect">
            <a:avLst/>
          </a:prstGeom>
        </xdr:spPr>
      </xdr:pic>
    </xdr:grpSp>
    <xdr:clientData/>
  </xdr:twoCellAnchor>
  <xdr:twoCellAnchor editAs="absolute">
    <xdr:from>
      <xdr:col>13</xdr:col>
      <xdr:colOff>1552774</xdr:colOff>
      <xdr:row>1</xdr:row>
      <xdr:rowOff>180975</xdr:rowOff>
    </xdr:from>
    <xdr:to>
      <xdr:col>14</xdr:col>
      <xdr:colOff>551961</xdr:colOff>
      <xdr:row>6</xdr:row>
      <xdr:rowOff>165906</xdr:rowOff>
    </xdr:to>
    <xdr:grpSp>
      <xdr:nvGrpSpPr>
        <xdr:cNvPr id="55" name="Group 54">
          <a:hlinkClick xmlns:r="http://schemas.openxmlformats.org/officeDocument/2006/relationships" r:id="rId13"/>
          <a:extLst>
            <a:ext uri="{FF2B5EF4-FFF2-40B4-BE49-F238E27FC236}">
              <a16:creationId xmlns:a16="http://schemas.microsoft.com/office/drawing/2014/main" id="{00000000-0008-0000-0600-000037000000}"/>
            </a:ext>
          </a:extLst>
        </xdr:cNvPr>
        <xdr:cNvGrpSpPr/>
      </xdr:nvGrpSpPr>
      <xdr:grpSpPr>
        <a:xfrm>
          <a:off x="13289162" y="785019"/>
          <a:ext cx="990705" cy="996962"/>
          <a:chOff x="7810699" y="790575"/>
          <a:chExt cx="913712" cy="937431"/>
        </a:xfrm>
      </xdr:grpSpPr>
      <xdr:grpSp>
        <xdr:nvGrpSpPr>
          <xdr:cNvPr id="56" name="Group 55">
            <a:extLst>
              <a:ext uri="{FF2B5EF4-FFF2-40B4-BE49-F238E27FC236}">
                <a16:creationId xmlns:a16="http://schemas.microsoft.com/office/drawing/2014/main" id="{00000000-0008-0000-0600-000038000000}"/>
              </a:ext>
            </a:extLst>
          </xdr:cNvPr>
          <xdr:cNvGrpSpPr/>
        </xdr:nvGrpSpPr>
        <xdr:grpSpPr>
          <a:xfrm>
            <a:off x="7810699" y="790575"/>
            <a:ext cx="913712" cy="937431"/>
            <a:chOff x="5057775" y="857249"/>
            <a:chExt cx="913712" cy="937431"/>
          </a:xfrm>
        </xdr:grpSpPr>
        <xdr:sp macro="" textlink="">
          <xdr:nvSpPr>
            <xdr:cNvPr id="58" name="Oval 57">
              <a:extLst>
                <a:ext uri="{FF2B5EF4-FFF2-40B4-BE49-F238E27FC236}">
                  <a16:creationId xmlns:a16="http://schemas.microsoft.com/office/drawing/2014/main" id="{00000000-0008-0000-0600-00003A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5057775" y="1514475"/>
              <a:ext cx="91371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Calibri Light" panose="020F0302020204030204" pitchFamily="34" charset="0"/>
                  <a:cs typeface="Calibri Light" panose="020F0302020204030204" pitchFamily="34" charset="0"/>
                </a:rPr>
                <a:t>Assessment</a:t>
              </a:r>
            </a:p>
          </xdr:txBody>
        </xdr:sp>
      </xdr:grpSp>
      <xdr:pic>
        <xdr:nvPicPr>
          <xdr:cNvPr id="57" name="Graphic 56" descr="Bar chart">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055750" y="912000"/>
            <a:ext cx="411480" cy="411480"/>
          </a:xfrm>
          <a:prstGeom prst="rect">
            <a:avLst/>
          </a:prstGeom>
        </xdr:spPr>
      </xdr:pic>
    </xdr:grpSp>
    <xdr:clientData/>
  </xdr:twoCellAnchor>
  <xdr:twoCellAnchor editAs="oneCell">
    <xdr:from>
      <xdr:col>12</xdr:col>
      <xdr:colOff>361950</xdr:colOff>
      <xdr:row>7</xdr:row>
      <xdr:rowOff>0</xdr:rowOff>
    </xdr:from>
    <xdr:to>
      <xdr:col>15</xdr:col>
      <xdr:colOff>19050</xdr:colOff>
      <xdr:row>21</xdr:row>
      <xdr:rowOff>58262</xdr:rowOff>
    </xdr:to>
    <xdr:pic>
      <xdr:nvPicPr>
        <xdr:cNvPr id="62" name="Picture 61">
          <a:extLst>
            <a:ext uri="{FF2B5EF4-FFF2-40B4-BE49-F238E27FC236}">
              <a16:creationId xmlns:a16="http://schemas.microsoft.com/office/drawing/2014/main" id="{00000000-0008-0000-0600-00003E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6466" r="17190"/>
        <a:stretch/>
      </xdr:blipFill>
      <xdr:spPr bwMode="auto">
        <a:xfrm>
          <a:off x="9620250" y="1809750"/>
          <a:ext cx="4143375" cy="4163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578304</xdr:colOff>
      <xdr:row>6</xdr:row>
      <xdr:rowOff>195939</xdr:rowOff>
    </xdr:from>
    <xdr:to>
      <xdr:col>14</xdr:col>
      <xdr:colOff>578304</xdr:colOff>
      <xdr:row>34</xdr:row>
      <xdr:rowOff>169269</xdr:rowOff>
    </xdr:to>
    <xdr:cxnSp macro="">
      <xdr:nvCxnSpPr>
        <xdr:cNvPr id="2" name="Straight Connector 1">
          <a:extLst>
            <a:ext uri="{FF2B5EF4-FFF2-40B4-BE49-F238E27FC236}">
              <a16:creationId xmlns:a16="http://schemas.microsoft.com/office/drawing/2014/main" id="{00000000-0008-0000-0700-000002000000}"/>
            </a:ext>
          </a:extLst>
        </xdr:cNvPr>
        <xdr:cNvCxnSpPr/>
      </xdr:nvCxnSpPr>
      <xdr:spPr>
        <a:xfrm>
          <a:off x="13713279" y="1805664"/>
          <a:ext cx="0" cy="549783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587829</xdr:colOff>
      <xdr:row>1</xdr:row>
      <xdr:rowOff>8159</xdr:rowOff>
    </xdr:from>
    <xdr:to>
      <xdr:col>14</xdr:col>
      <xdr:colOff>587829</xdr:colOff>
      <xdr:row>6</xdr:row>
      <xdr:rowOff>189950</xdr:rowOff>
    </xdr:to>
    <xdr:cxnSp macro="">
      <xdr:nvCxnSpPr>
        <xdr:cNvPr id="3" name="Straight Connector 2">
          <a:extLst>
            <a:ext uri="{FF2B5EF4-FFF2-40B4-BE49-F238E27FC236}">
              <a16:creationId xmlns:a16="http://schemas.microsoft.com/office/drawing/2014/main" id="{00000000-0008-0000-0700-000003000000}"/>
            </a:ext>
          </a:extLst>
        </xdr:cNvPr>
        <xdr:cNvCxnSpPr/>
      </xdr:nvCxnSpPr>
      <xdr:spPr>
        <a:xfrm>
          <a:off x="1372280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34</xdr:row>
      <xdr:rowOff>180975</xdr:rowOff>
    </xdr:from>
    <xdr:to>
      <xdr:col>15</xdr:col>
      <xdr:colOff>45983</xdr:colOff>
      <xdr:row>34</xdr:row>
      <xdr:rowOff>180975</xdr:rowOff>
    </xdr:to>
    <xdr:cxnSp macro="">
      <xdr:nvCxnSpPr>
        <xdr:cNvPr id="4" name="Straight Connector 3">
          <a:extLst>
            <a:ext uri="{FF2B5EF4-FFF2-40B4-BE49-F238E27FC236}">
              <a16:creationId xmlns:a16="http://schemas.microsoft.com/office/drawing/2014/main" id="{00000000-0008-0000-0700-000004000000}"/>
            </a:ext>
          </a:extLst>
        </xdr:cNvPr>
        <xdr:cNvCxnSpPr/>
      </xdr:nvCxnSpPr>
      <xdr:spPr>
        <a:xfrm>
          <a:off x="390525" y="6257925"/>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2</xdr:rowOff>
    </xdr:from>
    <xdr:to>
      <xdr:col>2</xdr:col>
      <xdr:colOff>952500</xdr:colOff>
      <xdr:row>11</xdr:row>
      <xdr:rowOff>123825</xdr:rowOff>
    </xdr:to>
    <xdr:sp macro="" textlink="">
      <xdr:nvSpPr>
        <xdr:cNvPr id="5" name="Right Triangle 4">
          <a:extLst>
            <a:ext uri="{FF2B5EF4-FFF2-40B4-BE49-F238E27FC236}">
              <a16:creationId xmlns:a16="http://schemas.microsoft.com/office/drawing/2014/main" id="{00000000-0008-0000-0700-000005000000}"/>
            </a:ext>
          </a:extLst>
        </xdr:cNvPr>
        <xdr:cNvSpPr/>
      </xdr:nvSpPr>
      <xdr:spPr>
        <a:xfrm rot="5400000">
          <a:off x="-190499" y="190501"/>
          <a:ext cx="25907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6" name="Right Triangle 5">
          <a:extLst>
            <a:ext uri="{FF2B5EF4-FFF2-40B4-BE49-F238E27FC236}">
              <a16:creationId xmlns:a16="http://schemas.microsoft.com/office/drawing/2014/main" id="{00000000-0008-0000-0700-000006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389280</xdr:colOff>
      <xdr:row>0</xdr:row>
      <xdr:rowOff>609599</xdr:rowOff>
    </xdr:from>
    <xdr:to>
      <xdr:col>4</xdr:col>
      <xdr:colOff>105816</xdr:colOff>
      <xdr:row>6</xdr:row>
      <xdr:rowOff>189256</xdr:rowOff>
    </xdr:to>
    <xdr:sp macro="" textlink="">
      <xdr:nvSpPr>
        <xdr:cNvPr id="7" name="Rectangle 6">
          <a:extLst>
            <a:ext uri="{FF2B5EF4-FFF2-40B4-BE49-F238E27FC236}">
              <a16:creationId xmlns:a16="http://schemas.microsoft.com/office/drawing/2014/main" id="{00000000-0008-0000-0700-000007000000}"/>
            </a:ext>
          </a:extLst>
        </xdr:cNvPr>
        <xdr:cNvSpPr/>
      </xdr:nvSpPr>
      <xdr:spPr>
        <a:xfrm>
          <a:off x="389280" y="609599"/>
          <a:ext cx="2459736" cy="1141757"/>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3</xdr:col>
      <xdr:colOff>152401</xdr:colOff>
      <xdr:row>5</xdr:row>
      <xdr:rowOff>77618</xdr:rowOff>
    </xdr:to>
    <xdr:pic>
      <xdr:nvPicPr>
        <xdr:cNvPr id="8" name="Graphic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9" name="Graphic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34</xdr:row>
      <xdr:rowOff>0</xdr:rowOff>
    </xdr:from>
    <xdr:to>
      <xdr:col>6</xdr:col>
      <xdr:colOff>1905</xdr:colOff>
      <xdr:row>34</xdr:row>
      <xdr:rowOff>0</xdr:rowOff>
    </xdr:to>
    <xdr:grpSp>
      <xdr:nvGrpSpPr>
        <xdr:cNvPr id="10" name="Group 9">
          <a:extLst>
            <a:ext uri="{FF2B5EF4-FFF2-40B4-BE49-F238E27FC236}">
              <a16:creationId xmlns:a16="http://schemas.microsoft.com/office/drawing/2014/main" id="{00000000-0008-0000-0700-00000A000000}"/>
            </a:ext>
          </a:extLst>
        </xdr:cNvPr>
        <xdr:cNvGrpSpPr/>
      </xdr:nvGrpSpPr>
      <xdr:grpSpPr>
        <a:xfrm>
          <a:off x="5049838" y="8929688"/>
          <a:ext cx="119380" cy="0"/>
          <a:chOff x="7772400" y="13287375"/>
          <a:chExt cx="304800" cy="304800"/>
        </a:xfrm>
      </xdr:grpSpPr>
      <xdr:sp macro="" textlink="">
        <xdr:nvSpPr>
          <xdr:cNvPr id="11" name="Oval 10">
            <a:extLst>
              <a:ext uri="{FF2B5EF4-FFF2-40B4-BE49-F238E27FC236}">
                <a16:creationId xmlns:a16="http://schemas.microsoft.com/office/drawing/2014/main" id="{00000000-0008-0000-0700-00000B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Graphic 11" descr="Information">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13" name="Right Triangle 12">
          <a:extLst>
            <a:ext uri="{FF2B5EF4-FFF2-40B4-BE49-F238E27FC236}">
              <a16:creationId xmlns:a16="http://schemas.microsoft.com/office/drawing/2014/main" id="{00000000-0008-0000-0700-00000D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xdr:colOff>
      <xdr:row>7</xdr:row>
      <xdr:rowOff>57150</xdr:rowOff>
    </xdr:from>
    <xdr:to>
      <xdr:col>1</xdr:col>
      <xdr:colOff>419100</xdr:colOff>
      <xdr:row>10</xdr:row>
      <xdr:rowOff>171450</xdr:rowOff>
    </xdr:to>
    <xdr:sp macro="" textlink="">
      <xdr:nvSpPr>
        <xdr:cNvPr id="14" name="Right Triangle 13">
          <a:extLst>
            <a:ext uri="{FF2B5EF4-FFF2-40B4-BE49-F238E27FC236}">
              <a16:creationId xmlns:a16="http://schemas.microsoft.com/office/drawing/2014/main" id="{00000000-0008-0000-0700-00000E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28575</xdr:colOff>
      <xdr:row>0</xdr:row>
      <xdr:rowOff>123825</xdr:rowOff>
    </xdr:from>
    <xdr:to>
      <xdr:col>1</xdr:col>
      <xdr:colOff>552450</xdr:colOff>
      <xdr:row>1</xdr:row>
      <xdr:rowOff>38100</xdr:rowOff>
    </xdr:to>
    <xdr:pic>
      <xdr:nvPicPr>
        <xdr:cNvPr id="15" name="Graphic 14" descr="Home">
          <a:hlinkClick xmlns:r="http://schemas.openxmlformats.org/officeDocument/2006/relationships" r:id="rId7"/>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19100" y="123825"/>
          <a:ext cx="523875" cy="523875"/>
        </a:xfrm>
        <a:prstGeom prst="rect">
          <a:avLst/>
        </a:prstGeom>
      </xdr:spPr>
    </xdr:pic>
    <xdr:clientData/>
  </xdr:twoCellAnchor>
  <xdr:twoCellAnchor editAs="absolute">
    <xdr:from>
      <xdr:col>13</xdr:col>
      <xdr:colOff>676275</xdr:colOff>
      <xdr:row>1</xdr:row>
      <xdr:rowOff>171450</xdr:rowOff>
    </xdr:from>
    <xdr:to>
      <xdr:col>13</xdr:col>
      <xdr:colOff>1314450</xdr:colOff>
      <xdr:row>6</xdr:row>
      <xdr:rowOff>145545</xdr:rowOff>
    </xdr:to>
    <xdr:grpSp>
      <xdr:nvGrpSpPr>
        <xdr:cNvPr id="16" name="Group 15">
          <a:hlinkClick xmlns:r="http://schemas.openxmlformats.org/officeDocument/2006/relationships" r:id="rId10"/>
          <a:extLst>
            <a:ext uri="{FF2B5EF4-FFF2-40B4-BE49-F238E27FC236}">
              <a16:creationId xmlns:a16="http://schemas.microsoft.com/office/drawing/2014/main" id="{00000000-0008-0000-0700-000010000000}"/>
            </a:ext>
          </a:extLst>
        </xdr:cNvPr>
        <xdr:cNvGrpSpPr/>
      </xdr:nvGrpSpPr>
      <xdr:grpSpPr>
        <a:xfrm>
          <a:off x="12412663" y="778669"/>
          <a:ext cx="641350" cy="982951"/>
          <a:chOff x="5791200" y="790575"/>
          <a:chExt cx="638175" cy="926595"/>
        </a:xfrm>
      </xdr:grpSpPr>
      <xdr:grpSp>
        <xdr:nvGrpSpPr>
          <xdr:cNvPr id="17" name="Group 16">
            <a:extLst>
              <a:ext uri="{FF2B5EF4-FFF2-40B4-BE49-F238E27FC236}">
                <a16:creationId xmlns:a16="http://schemas.microsoft.com/office/drawing/2014/main" id="{00000000-0008-0000-0700-000011000000}"/>
              </a:ext>
            </a:extLst>
          </xdr:cNvPr>
          <xdr:cNvGrpSpPr/>
        </xdr:nvGrpSpPr>
        <xdr:grpSpPr>
          <a:xfrm>
            <a:off x="5791200" y="790575"/>
            <a:ext cx="638175" cy="926595"/>
            <a:chOff x="3409950" y="857249"/>
            <a:chExt cx="638175" cy="926595"/>
          </a:xfrm>
        </xdr:grpSpPr>
        <xdr:sp macro="" textlink="">
          <xdr:nvSpPr>
            <xdr:cNvPr id="19" name="Oval 18">
              <a:extLst>
                <a:ext uri="{FF2B5EF4-FFF2-40B4-BE49-F238E27FC236}">
                  <a16:creationId xmlns:a16="http://schemas.microsoft.com/office/drawing/2014/main" id="{00000000-0008-0000-0700-000013000000}"/>
                </a:ext>
              </a:extLst>
            </xdr:cNvPr>
            <xdr:cNvSpPr/>
          </xdr:nvSpPr>
          <xdr:spPr>
            <a:xfrm>
              <a:off x="3409950"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453635" y="1514475"/>
              <a:ext cx="52700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Input</a:t>
              </a:r>
            </a:p>
          </xdr:txBody>
        </xdr:sp>
      </xdr:grpSp>
      <xdr:pic>
        <xdr:nvPicPr>
          <xdr:cNvPr id="18" name="Graphic 17" descr="Pencil">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5943600" y="933450"/>
            <a:ext cx="365760" cy="365760"/>
          </a:xfrm>
          <a:prstGeom prst="rect">
            <a:avLst/>
          </a:prstGeom>
        </xdr:spPr>
      </xdr:pic>
    </xdr:grpSp>
    <xdr:clientData/>
  </xdr:twoCellAnchor>
  <xdr:twoCellAnchor editAs="absolute">
    <xdr:from>
      <xdr:col>13</xdr:col>
      <xdr:colOff>1505149</xdr:colOff>
      <xdr:row>1</xdr:row>
      <xdr:rowOff>180975</xdr:rowOff>
    </xdr:from>
    <xdr:to>
      <xdr:col>15</xdr:col>
      <xdr:colOff>3868</xdr:colOff>
      <xdr:row>6</xdr:row>
      <xdr:rowOff>155070</xdr:rowOff>
    </xdr:to>
    <xdr:grpSp>
      <xdr:nvGrpSpPr>
        <xdr:cNvPr id="21" name="Group 20">
          <a:hlinkClick xmlns:r="http://schemas.openxmlformats.org/officeDocument/2006/relationships" r:id="rId13"/>
          <a:extLst>
            <a:ext uri="{FF2B5EF4-FFF2-40B4-BE49-F238E27FC236}">
              <a16:creationId xmlns:a16="http://schemas.microsoft.com/office/drawing/2014/main" id="{00000000-0008-0000-0700-000015000000}"/>
            </a:ext>
          </a:extLst>
        </xdr:cNvPr>
        <xdr:cNvGrpSpPr/>
      </xdr:nvGrpSpPr>
      <xdr:grpSpPr>
        <a:xfrm>
          <a:off x="13244712" y="785019"/>
          <a:ext cx="1133175" cy="989301"/>
          <a:chOff x="7763074" y="790575"/>
          <a:chExt cx="1022844" cy="926595"/>
        </a:xfrm>
      </xdr:grpSpPr>
      <xdr:grpSp>
        <xdr:nvGrpSpPr>
          <xdr:cNvPr id="22" name="Group 21">
            <a:extLst>
              <a:ext uri="{FF2B5EF4-FFF2-40B4-BE49-F238E27FC236}">
                <a16:creationId xmlns:a16="http://schemas.microsoft.com/office/drawing/2014/main" id="{00000000-0008-0000-0700-000016000000}"/>
              </a:ext>
            </a:extLst>
          </xdr:cNvPr>
          <xdr:cNvGrpSpPr/>
        </xdr:nvGrpSpPr>
        <xdr:grpSpPr>
          <a:xfrm>
            <a:off x="7763074" y="790575"/>
            <a:ext cx="1022844" cy="926595"/>
            <a:chOff x="5010150" y="857249"/>
            <a:chExt cx="1022844" cy="926595"/>
          </a:xfrm>
        </xdr:grpSpPr>
        <xdr:sp macro="" textlink="">
          <xdr:nvSpPr>
            <xdr:cNvPr id="24" name="Oval 23">
              <a:extLst>
                <a:ext uri="{FF2B5EF4-FFF2-40B4-BE49-F238E27FC236}">
                  <a16:creationId xmlns:a16="http://schemas.microsoft.com/office/drawing/2014/main" id="{00000000-0008-0000-0700-000018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5010150"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23" name="Graphic 22" descr="Bar chart">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055750" y="912000"/>
            <a:ext cx="411480" cy="411480"/>
          </a:xfrm>
          <a:prstGeom prst="rect">
            <a:avLst/>
          </a:prstGeom>
        </xdr:spPr>
      </xdr:pic>
    </xdr:grpSp>
    <xdr:clientData/>
  </xdr:twoCellAnchor>
  <xdr:twoCellAnchor editAs="oneCell">
    <xdr:from>
      <xdr:col>5</xdr:col>
      <xdr:colOff>47625</xdr:colOff>
      <xdr:row>10</xdr:row>
      <xdr:rowOff>114300</xdr:rowOff>
    </xdr:from>
    <xdr:to>
      <xdr:col>5</xdr:col>
      <xdr:colOff>230505</xdr:colOff>
      <xdr:row>10</xdr:row>
      <xdr:rowOff>297180</xdr:rowOff>
    </xdr:to>
    <xdr:pic>
      <xdr:nvPicPr>
        <xdr:cNvPr id="27" name="Graphic 26" descr="Help">
          <a:hlinkClick xmlns:r="http://schemas.openxmlformats.org/officeDocument/2006/relationships" r:id="rId16" tooltip="Please insert your maximum available budget for deveoping the use case here."/>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4752975" y="2705100"/>
          <a:ext cx="182880" cy="182880"/>
        </a:xfrm>
        <a:prstGeom prst="rect">
          <a:avLst/>
        </a:prstGeom>
      </xdr:spPr>
    </xdr:pic>
    <xdr:clientData/>
  </xdr:twoCellAnchor>
  <xdr:twoCellAnchor editAs="oneCell">
    <xdr:from>
      <xdr:col>13</xdr:col>
      <xdr:colOff>47625</xdr:colOff>
      <xdr:row>10</xdr:row>
      <xdr:rowOff>114300</xdr:rowOff>
    </xdr:from>
    <xdr:to>
      <xdr:col>13</xdr:col>
      <xdr:colOff>230505</xdr:colOff>
      <xdr:row>10</xdr:row>
      <xdr:rowOff>297180</xdr:rowOff>
    </xdr:to>
    <xdr:pic>
      <xdr:nvPicPr>
        <xdr:cNvPr id="28" name="Graphic 27" descr="Help">
          <a:hlinkClick xmlns:r="http://schemas.openxmlformats.org/officeDocument/2006/relationships" r:id="rId16" tooltip="Fixed investment costs comprise all costs that are not personnel costs."/>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268075" y="2705100"/>
          <a:ext cx="182880" cy="182880"/>
        </a:xfrm>
        <a:prstGeom prst="rect">
          <a:avLst/>
        </a:prstGeom>
      </xdr:spPr>
    </xdr:pic>
    <xdr:clientData/>
  </xdr:twoCellAnchor>
  <xdr:twoCellAnchor editAs="oneCell">
    <xdr:from>
      <xdr:col>9</xdr:col>
      <xdr:colOff>47625</xdr:colOff>
      <xdr:row>18</xdr:row>
      <xdr:rowOff>114300</xdr:rowOff>
    </xdr:from>
    <xdr:to>
      <xdr:col>9</xdr:col>
      <xdr:colOff>230505</xdr:colOff>
      <xdr:row>18</xdr:row>
      <xdr:rowOff>297180</xdr:rowOff>
    </xdr:to>
    <xdr:pic>
      <xdr:nvPicPr>
        <xdr:cNvPr id="29" name="Graphic 28" descr="Help">
          <a:hlinkClick xmlns:r="http://schemas.openxmlformats.org/officeDocument/2006/relationships" r:id="rId16" tooltip="Please define how many employees will work on the project."/>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8010525" y="4848225"/>
          <a:ext cx="182880" cy="182880"/>
        </a:xfrm>
        <a:prstGeom prst="rect">
          <a:avLst/>
        </a:prstGeom>
      </xdr:spPr>
    </xdr:pic>
    <xdr:clientData/>
  </xdr:twoCellAnchor>
  <xdr:twoCellAnchor editAs="oneCell">
    <xdr:from>
      <xdr:col>14</xdr:col>
      <xdr:colOff>28575</xdr:colOff>
      <xdr:row>18</xdr:row>
      <xdr:rowOff>114300</xdr:rowOff>
    </xdr:from>
    <xdr:to>
      <xdr:col>14</xdr:col>
      <xdr:colOff>211455</xdr:colOff>
      <xdr:row>18</xdr:row>
      <xdr:rowOff>297180</xdr:rowOff>
    </xdr:to>
    <xdr:pic>
      <xdr:nvPicPr>
        <xdr:cNvPr id="30" name="Graphic 29" descr="Help">
          <a:hlinkClick xmlns:r="http://schemas.openxmlformats.org/officeDocument/2006/relationships" r:id="rId16" tooltip="Please insert any miscellaneous costs induced on a monthly basis during the development phase, e.g. licenses"/>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3163550" y="4848225"/>
          <a:ext cx="182880" cy="182880"/>
        </a:xfrm>
        <a:prstGeom prst="rect">
          <a:avLst/>
        </a:prstGeom>
      </xdr:spPr>
    </xdr:pic>
    <xdr:clientData/>
  </xdr:twoCellAnchor>
  <xdr:twoCellAnchor editAs="absolute">
    <xdr:from>
      <xdr:col>13</xdr:col>
      <xdr:colOff>1571625</xdr:colOff>
      <xdr:row>0</xdr:row>
      <xdr:rowOff>371475</xdr:rowOff>
    </xdr:from>
    <xdr:to>
      <xdr:col>15</xdr:col>
      <xdr:colOff>66676</xdr:colOff>
      <xdr:row>1</xdr:row>
      <xdr:rowOff>43115</xdr:rowOff>
    </xdr:to>
    <xdr:grpSp>
      <xdr:nvGrpSpPr>
        <xdr:cNvPr id="31" name="Group 30">
          <a:hlinkClick xmlns:r="http://schemas.openxmlformats.org/officeDocument/2006/relationships" r:id="rId19"/>
          <a:extLst>
            <a:ext uri="{FF2B5EF4-FFF2-40B4-BE49-F238E27FC236}">
              <a16:creationId xmlns:a16="http://schemas.microsoft.com/office/drawing/2014/main" id="{00000000-0008-0000-0700-00001F000000}"/>
            </a:ext>
          </a:extLst>
        </xdr:cNvPr>
        <xdr:cNvGrpSpPr/>
      </xdr:nvGrpSpPr>
      <xdr:grpSpPr>
        <a:xfrm>
          <a:off x="13308013" y="368300"/>
          <a:ext cx="1126332" cy="285209"/>
          <a:chOff x="12792075" y="371475"/>
          <a:chExt cx="1019176" cy="281240"/>
        </a:xfrm>
      </xdr:grpSpPr>
      <xdr:pic>
        <xdr:nvPicPr>
          <xdr:cNvPr id="32" name="Graphic 31" descr="Link">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2792075" y="419100"/>
            <a:ext cx="182880" cy="182880"/>
          </a:xfrm>
          <a:prstGeom prst="rect">
            <a:avLst/>
          </a:prstGeom>
        </xdr:spPr>
      </xdr:pic>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absolute">
    <xdr:from>
      <xdr:col>3</xdr:col>
      <xdr:colOff>190500</xdr:colOff>
      <xdr:row>0</xdr:row>
      <xdr:rowOff>342900</xdr:rowOff>
    </xdr:from>
    <xdr:to>
      <xdr:col>4</xdr:col>
      <xdr:colOff>723900</xdr:colOff>
      <xdr:row>1</xdr:row>
      <xdr:rowOff>47625</xdr:rowOff>
    </xdr:to>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743200" y="342900"/>
          <a:ext cx="723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4</xdr:col>
      <xdr:colOff>523874</xdr:colOff>
      <xdr:row>0</xdr:row>
      <xdr:rowOff>342900</xdr:rowOff>
    </xdr:from>
    <xdr:to>
      <xdr:col>7</xdr:col>
      <xdr:colOff>19050</xdr:colOff>
      <xdr:row>1</xdr:row>
      <xdr:rowOff>47625</xdr:rowOff>
    </xdr:to>
    <xdr:sp macro="" textlink="'1-Description'!E31">
      <xdr:nvSpPr>
        <xdr:cNvPr id="35" name="TextBox 34">
          <a:extLst>
            <a:ext uri="{FF2B5EF4-FFF2-40B4-BE49-F238E27FC236}">
              <a16:creationId xmlns:a16="http://schemas.microsoft.com/office/drawing/2014/main" id="{00000000-0008-0000-0700-000023000000}"/>
            </a:ext>
          </a:extLst>
        </xdr:cNvPr>
        <xdr:cNvSpPr txBox="1"/>
      </xdr:nvSpPr>
      <xdr:spPr>
        <a:xfrm>
          <a:off x="3267074" y="342900"/>
          <a:ext cx="25622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Post-MVP/Pre-depl. assessment</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578304</xdr:colOff>
      <xdr:row>6</xdr:row>
      <xdr:rowOff>195939</xdr:rowOff>
    </xdr:from>
    <xdr:to>
      <xdr:col>15</xdr:col>
      <xdr:colOff>578304</xdr:colOff>
      <xdr:row>25</xdr:row>
      <xdr:rowOff>169269</xdr:rowOff>
    </xdr:to>
    <xdr:cxnSp macro="">
      <xdr:nvCxnSpPr>
        <xdr:cNvPr id="2" name="Straight Connector 1">
          <a:extLst>
            <a:ext uri="{FF2B5EF4-FFF2-40B4-BE49-F238E27FC236}">
              <a16:creationId xmlns:a16="http://schemas.microsoft.com/office/drawing/2014/main" id="{00000000-0008-0000-0800-000002000000}"/>
            </a:ext>
          </a:extLst>
        </xdr:cNvPr>
        <xdr:cNvCxnSpPr/>
      </xdr:nvCxnSpPr>
      <xdr:spPr>
        <a:xfrm>
          <a:off x="13713279" y="1805664"/>
          <a:ext cx="0" cy="725043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587829</xdr:colOff>
      <xdr:row>1</xdr:row>
      <xdr:rowOff>8159</xdr:rowOff>
    </xdr:from>
    <xdr:to>
      <xdr:col>15</xdr:col>
      <xdr:colOff>587829</xdr:colOff>
      <xdr:row>6</xdr:row>
      <xdr:rowOff>189950</xdr:rowOff>
    </xdr:to>
    <xdr:cxnSp macro="">
      <xdr:nvCxnSpPr>
        <xdr:cNvPr id="3" name="Straight Connector 2">
          <a:extLst>
            <a:ext uri="{FF2B5EF4-FFF2-40B4-BE49-F238E27FC236}">
              <a16:creationId xmlns:a16="http://schemas.microsoft.com/office/drawing/2014/main" id="{00000000-0008-0000-0800-000003000000}"/>
            </a:ext>
          </a:extLst>
        </xdr:cNvPr>
        <xdr:cNvCxnSpPr/>
      </xdr:nvCxnSpPr>
      <xdr:spPr>
        <a:xfrm>
          <a:off x="1372280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25</xdr:row>
      <xdr:rowOff>180975</xdr:rowOff>
    </xdr:from>
    <xdr:to>
      <xdr:col>16</xdr:col>
      <xdr:colOff>45983</xdr:colOff>
      <xdr:row>25</xdr:row>
      <xdr:rowOff>180975</xdr:rowOff>
    </xdr:to>
    <xdr:cxnSp macro="">
      <xdr:nvCxnSpPr>
        <xdr:cNvPr id="4" name="Straight Connector 3">
          <a:extLst>
            <a:ext uri="{FF2B5EF4-FFF2-40B4-BE49-F238E27FC236}">
              <a16:creationId xmlns:a16="http://schemas.microsoft.com/office/drawing/2014/main" id="{00000000-0008-0000-0800-000004000000}"/>
            </a:ext>
          </a:extLst>
        </xdr:cNvPr>
        <xdr:cNvCxnSpPr/>
      </xdr:nvCxnSpPr>
      <xdr:spPr>
        <a:xfrm>
          <a:off x="390525" y="9067800"/>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2</xdr:rowOff>
    </xdr:from>
    <xdr:to>
      <xdr:col>3</xdr:col>
      <xdr:colOff>476250</xdr:colOff>
      <xdr:row>11</xdr:row>
      <xdr:rowOff>123825</xdr:rowOff>
    </xdr:to>
    <xdr:sp macro="" textlink="">
      <xdr:nvSpPr>
        <xdr:cNvPr id="5" name="Right Triangle 4">
          <a:extLst>
            <a:ext uri="{FF2B5EF4-FFF2-40B4-BE49-F238E27FC236}">
              <a16:creationId xmlns:a16="http://schemas.microsoft.com/office/drawing/2014/main" id="{00000000-0008-0000-0800-000005000000}"/>
            </a:ext>
          </a:extLst>
        </xdr:cNvPr>
        <xdr:cNvSpPr/>
      </xdr:nvSpPr>
      <xdr:spPr>
        <a:xfrm rot="5400000">
          <a:off x="-190499" y="190501"/>
          <a:ext cx="25907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6" name="Right Triangle 5">
          <a:extLst>
            <a:ext uri="{FF2B5EF4-FFF2-40B4-BE49-F238E27FC236}">
              <a16:creationId xmlns:a16="http://schemas.microsoft.com/office/drawing/2014/main" id="{00000000-0008-0000-0800-000006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389280</xdr:colOff>
      <xdr:row>1</xdr:row>
      <xdr:rowOff>8281</xdr:rowOff>
    </xdr:from>
    <xdr:to>
      <xdr:col>4</xdr:col>
      <xdr:colOff>258216</xdr:colOff>
      <xdr:row>6</xdr:row>
      <xdr:rowOff>180975</xdr:rowOff>
    </xdr:to>
    <xdr:sp macro="" textlink="">
      <xdr:nvSpPr>
        <xdr:cNvPr id="7" name="Rectangle 6">
          <a:extLst>
            <a:ext uri="{FF2B5EF4-FFF2-40B4-BE49-F238E27FC236}">
              <a16:creationId xmlns:a16="http://schemas.microsoft.com/office/drawing/2014/main" id="{00000000-0008-0000-0800-000007000000}"/>
            </a:ext>
          </a:extLst>
        </xdr:cNvPr>
        <xdr:cNvSpPr/>
      </xdr:nvSpPr>
      <xdr:spPr>
        <a:xfrm>
          <a:off x="389280" y="617881"/>
          <a:ext cx="2459736" cy="1125194"/>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4</xdr:col>
      <xdr:colOff>114301</xdr:colOff>
      <xdr:row>5</xdr:row>
      <xdr:rowOff>77618</xdr:rowOff>
    </xdr:to>
    <xdr:pic>
      <xdr:nvPicPr>
        <xdr:cNvPr id="8" name="Graphic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9" name="Graphic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25</xdr:row>
      <xdr:rowOff>0</xdr:rowOff>
    </xdr:from>
    <xdr:to>
      <xdr:col>6</xdr:col>
      <xdr:colOff>1905</xdr:colOff>
      <xdr:row>25</xdr:row>
      <xdr:rowOff>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3728244" y="9346406"/>
          <a:ext cx="1774349" cy="0"/>
          <a:chOff x="7772400" y="13287375"/>
          <a:chExt cx="304800" cy="304800"/>
        </a:xfrm>
      </xdr:grpSpPr>
      <xdr:sp macro="" textlink="">
        <xdr:nvSpPr>
          <xdr:cNvPr id="11" name="Oval 10">
            <a:extLst>
              <a:ext uri="{FF2B5EF4-FFF2-40B4-BE49-F238E27FC236}">
                <a16:creationId xmlns:a16="http://schemas.microsoft.com/office/drawing/2014/main" id="{00000000-0008-0000-0800-00000B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Graphic 11" descr="Information">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13" name="Right Triangle 12">
          <a:extLst>
            <a:ext uri="{FF2B5EF4-FFF2-40B4-BE49-F238E27FC236}">
              <a16:creationId xmlns:a16="http://schemas.microsoft.com/office/drawing/2014/main" id="{00000000-0008-0000-0800-00000D000000}"/>
            </a:ext>
          </a:extLst>
        </xdr:cNvPr>
        <xdr:cNvSpPr/>
      </xdr:nvSpPr>
      <xdr:spPr>
        <a:xfrm rot="5400000">
          <a:off x="471488" y="1728788"/>
          <a:ext cx="2571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xdr:colOff>
      <xdr:row>7</xdr:row>
      <xdr:rowOff>57150</xdr:rowOff>
    </xdr:from>
    <xdr:to>
      <xdr:col>1</xdr:col>
      <xdr:colOff>419100</xdr:colOff>
      <xdr:row>10</xdr:row>
      <xdr:rowOff>171450</xdr:rowOff>
    </xdr:to>
    <xdr:sp macro="" textlink="">
      <xdr:nvSpPr>
        <xdr:cNvPr id="14" name="Right Triangle 13">
          <a:extLst>
            <a:ext uri="{FF2B5EF4-FFF2-40B4-BE49-F238E27FC236}">
              <a16:creationId xmlns:a16="http://schemas.microsoft.com/office/drawing/2014/main" id="{00000000-0008-0000-0800-00000E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28575</xdr:colOff>
      <xdr:row>0</xdr:row>
      <xdr:rowOff>123825</xdr:rowOff>
    </xdr:from>
    <xdr:to>
      <xdr:col>1</xdr:col>
      <xdr:colOff>552450</xdr:colOff>
      <xdr:row>1</xdr:row>
      <xdr:rowOff>38100</xdr:rowOff>
    </xdr:to>
    <xdr:pic>
      <xdr:nvPicPr>
        <xdr:cNvPr id="15" name="Graphic 14" descr="Home">
          <a:hlinkClick xmlns:r="http://schemas.openxmlformats.org/officeDocument/2006/relationships" r:id="rId7"/>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19100" y="123825"/>
          <a:ext cx="523875" cy="523875"/>
        </a:xfrm>
        <a:prstGeom prst="rect">
          <a:avLst/>
        </a:prstGeom>
      </xdr:spPr>
    </xdr:pic>
    <xdr:clientData/>
  </xdr:twoCellAnchor>
  <xdr:twoCellAnchor editAs="absolute">
    <xdr:from>
      <xdr:col>14</xdr:col>
      <xdr:colOff>647700</xdr:colOff>
      <xdr:row>1</xdr:row>
      <xdr:rowOff>171450</xdr:rowOff>
    </xdr:from>
    <xdr:to>
      <xdr:col>14</xdr:col>
      <xdr:colOff>1285875</xdr:colOff>
      <xdr:row>6</xdr:row>
      <xdr:rowOff>145545</xdr:rowOff>
    </xdr:to>
    <xdr:grpSp>
      <xdr:nvGrpSpPr>
        <xdr:cNvPr id="16" name="Group 15">
          <a:hlinkClick xmlns:r="http://schemas.openxmlformats.org/officeDocument/2006/relationships" r:id="rId10"/>
          <a:extLst>
            <a:ext uri="{FF2B5EF4-FFF2-40B4-BE49-F238E27FC236}">
              <a16:creationId xmlns:a16="http://schemas.microsoft.com/office/drawing/2014/main" id="{00000000-0008-0000-0800-000010000000}"/>
            </a:ext>
          </a:extLst>
        </xdr:cNvPr>
        <xdr:cNvGrpSpPr/>
      </xdr:nvGrpSpPr>
      <xdr:grpSpPr>
        <a:xfrm>
          <a:off x="13506450" y="778669"/>
          <a:ext cx="635000" cy="982951"/>
          <a:chOff x="5791200" y="790575"/>
          <a:chExt cx="638175" cy="926595"/>
        </a:xfrm>
      </xdr:grpSpPr>
      <xdr:grpSp>
        <xdr:nvGrpSpPr>
          <xdr:cNvPr id="17" name="Group 16">
            <a:extLst>
              <a:ext uri="{FF2B5EF4-FFF2-40B4-BE49-F238E27FC236}">
                <a16:creationId xmlns:a16="http://schemas.microsoft.com/office/drawing/2014/main" id="{00000000-0008-0000-0800-000011000000}"/>
              </a:ext>
            </a:extLst>
          </xdr:cNvPr>
          <xdr:cNvGrpSpPr/>
        </xdr:nvGrpSpPr>
        <xdr:grpSpPr>
          <a:xfrm>
            <a:off x="5791200" y="790575"/>
            <a:ext cx="638175" cy="926595"/>
            <a:chOff x="3409950" y="857249"/>
            <a:chExt cx="638175" cy="926595"/>
          </a:xfrm>
        </xdr:grpSpPr>
        <xdr:sp macro="" textlink="">
          <xdr:nvSpPr>
            <xdr:cNvPr id="19" name="Oval 18">
              <a:extLst>
                <a:ext uri="{FF2B5EF4-FFF2-40B4-BE49-F238E27FC236}">
                  <a16:creationId xmlns:a16="http://schemas.microsoft.com/office/drawing/2014/main" id="{00000000-0008-0000-0800-000013000000}"/>
                </a:ext>
              </a:extLst>
            </xdr:cNvPr>
            <xdr:cNvSpPr/>
          </xdr:nvSpPr>
          <xdr:spPr>
            <a:xfrm>
              <a:off x="3409950"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3453635" y="1514475"/>
              <a:ext cx="52700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Input</a:t>
              </a:r>
            </a:p>
          </xdr:txBody>
        </xdr:sp>
      </xdr:grpSp>
      <xdr:pic>
        <xdr:nvPicPr>
          <xdr:cNvPr id="18" name="Graphic 17" descr="Pencil">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5943600" y="933450"/>
            <a:ext cx="365760" cy="365760"/>
          </a:xfrm>
          <a:prstGeom prst="rect">
            <a:avLst/>
          </a:prstGeom>
        </xdr:spPr>
      </xdr:pic>
    </xdr:grpSp>
    <xdr:clientData/>
  </xdr:twoCellAnchor>
  <xdr:twoCellAnchor editAs="absolute">
    <xdr:from>
      <xdr:col>14</xdr:col>
      <xdr:colOff>1476574</xdr:colOff>
      <xdr:row>1</xdr:row>
      <xdr:rowOff>180975</xdr:rowOff>
    </xdr:from>
    <xdr:to>
      <xdr:col>15</xdr:col>
      <xdr:colOff>584893</xdr:colOff>
      <xdr:row>6</xdr:row>
      <xdr:rowOff>155070</xdr:rowOff>
    </xdr:to>
    <xdr:grpSp>
      <xdr:nvGrpSpPr>
        <xdr:cNvPr id="21" name="Group 20">
          <a:hlinkClick xmlns:r="http://schemas.openxmlformats.org/officeDocument/2006/relationships" r:id="rId13"/>
          <a:extLst>
            <a:ext uri="{FF2B5EF4-FFF2-40B4-BE49-F238E27FC236}">
              <a16:creationId xmlns:a16="http://schemas.microsoft.com/office/drawing/2014/main" id="{00000000-0008-0000-0800-000015000000}"/>
            </a:ext>
          </a:extLst>
        </xdr:cNvPr>
        <xdr:cNvGrpSpPr/>
      </xdr:nvGrpSpPr>
      <xdr:grpSpPr>
        <a:xfrm>
          <a:off x="14332149" y="785019"/>
          <a:ext cx="1096663" cy="989301"/>
          <a:chOff x="7763074" y="790575"/>
          <a:chExt cx="1022844" cy="92659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7763074" y="790575"/>
            <a:ext cx="1022844" cy="926595"/>
            <a:chOff x="5010150" y="857249"/>
            <a:chExt cx="1022844" cy="926595"/>
          </a:xfrm>
        </xdr:grpSpPr>
        <xdr:sp macro="" textlink="">
          <xdr:nvSpPr>
            <xdr:cNvPr id="24" name="Oval 23">
              <a:extLst>
                <a:ext uri="{FF2B5EF4-FFF2-40B4-BE49-F238E27FC236}">
                  <a16:creationId xmlns:a16="http://schemas.microsoft.com/office/drawing/2014/main" id="{00000000-0008-0000-0800-000018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5" name="TextBox 24">
              <a:hlinkClick xmlns:r="http://schemas.openxmlformats.org/officeDocument/2006/relationships" r:id="rId13"/>
              <a:extLst>
                <a:ext uri="{FF2B5EF4-FFF2-40B4-BE49-F238E27FC236}">
                  <a16:creationId xmlns:a16="http://schemas.microsoft.com/office/drawing/2014/main" id="{00000000-0008-0000-0800-000019000000}"/>
                </a:ext>
              </a:extLst>
            </xdr:cNvPr>
            <xdr:cNvSpPr txBox="1"/>
          </xdr:nvSpPr>
          <xdr:spPr>
            <a:xfrm>
              <a:off x="5010150"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23" name="Graphic 22" descr="Bar chart">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055750" y="912000"/>
            <a:ext cx="411480" cy="411480"/>
          </a:xfrm>
          <a:prstGeom prst="rect">
            <a:avLst/>
          </a:prstGeom>
        </xdr:spPr>
      </xdr:pic>
    </xdr:grpSp>
    <xdr:clientData/>
  </xdr:twoCellAnchor>
  <xdr:twoCellAnchor editAs="absolute">
    <xdr:from>
      <xdr:col>14</xdr:col>
      <xdr:colOff>1543050</xdr:colOff>
      <xdr:row>0</xdr:row>
      <xdr:rowOff>371475</xdr:rowOff>
    </xdr:from>
    <xdr:to>
      <xdr:col>16</xdr:col>
      <xdr:colOff>38101</xdr:colOff>
      <xdr:row>1</xdr:row>
      <xdr:rowOff>43115</xdr:rowOff>
    </xdr:to>
    <xdr:grpSp>
      <xdr:nvGrpSpPr>
        <xdr:cNvPr id="30" name="Group 29">
          <a:hlinkClick xmlns:r="http://schemas.openxmlformats.org/officeDocument/2006/relationships" r:id="rId16"/>
          <a:extLst>
            <a:ext uri="{FF2B5EF4-FFF2-40B4-BE49-F238E27FC236}">
              <a16:creationId xmlns:a16="http://schemas.microsoft.com/office/drawing/2014/main" id="{00000000-0008-0000-0800-00001E000000}"/>
            </a:ext>
          </a:extLst>
        </xdr:cNvPr>
        <xdr:cNvGrpSpPr/>
      </xdr:nvGrpSpPr>
      <xdr:grpSpPr>
        <a:xfrm>
          <a:off x="14401800" y="368300"/>
          <a:ext cx="1126332" cy="285209"/>
          <a:chOff x="12792075" y="371475"/>
          <a:chExt cx="1019176" cy="281240"/>
        </a:xfrm>
      </xdr:grpSpPr>
      <xdr:pic>
        <xdr:nvPicPr>
          <xdr:cNvPr id="31" name="Graphic 30" descr="Link">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792075" y="419100"/>
            <a:ext cx="182880" cy="182880"/>
          </a:xfrm>
          <a:prstGeom prst="rect">
            <a:avLst/>
          </a:prstGeom>
        </xdr:spPr>
      </xdr:pic>
      <xdr:sp macro="" textlink="">
        <xdr:nvSpPr>
          <xdr:cNvPr id="32" name="TextBox 31">
            <a:hlinkClick xmlns:r="http://schemas.openxmlformats.org/officeDocument/2006/relationships" r:id="rId16"/>
            <a:extLst>
              <a:ext uri="{FF2B5EF4-FFF2-40B4-BE49-F238E27FC236}">
                <a16:creationId xmlns:a16="http://schemas.microsoft.com/office/drawing/2014/main" id="{00000000-0008-0000-0800-000020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oneCellAnchor>
    <xdr:from>
      <xdr:col>9</xdr:col>
      <xdr:colOff>527050</xdr:colOff>
      <xdr:row>14</xdr:row>
      <xdr:rowOff>285750</xdr:rowOff>
    </xdr:from>
    <xdr:ext cx="5426075" cy="2479266"/>
    <xdr:pic>
      <xdr:nvPicPr>
        <xdr:cNvPr id="34" name="image1.gif" title="Bild">
          <a:extLst>
            <a:ext uri="{FF2B5EF4-FFF2-40B4-BE49-F238E27FC236}">
              <a16:creationId xmlns:a16="http://schemas.microsoft.com/office/drawing/2014/main" id="{00000000-0008-0000-0800-000022000000}"/>
            </a:ext>
          </a:extLst>
        </xdr:cNvPr>
        <xdr:cNvPicPr preferRelativeResize="0"/>
      </xdr:nvPicPr>
      <xdr:blipFill>
        <a:blip xmlns:r="http://schemas.openxmlformats.org/officeDocument/2006/relationships" r:embed="rId19" cstate="print"/>
        <a:stretch>
          <a:fillRect/>
        </a:stretch>
      </xdr:blipFill>
      <xdr:spPr>
        <a:xfrm>
          <a:off x="8118475" y="5476875"/>
          <a:ext cx="5426075" cy="2479266"/>
        </a:xfrm>
        <a:prstGeom prst="rect">
          <a:avLst/>
        </a:prstGeom>
        <a:noFill/>
      </xdr:spPr>
    </xdr:pic>
    <xdr:clientData fLocksWithSheet="0"/>
  </xdr:oneCellAnchor>
  <xdr:twoCellAnchor>
    <xdr:from>
      <xdr:col>8</xdr:col>
      <xdr:colOff>76200</xdr:colOff>
      <xdr:row>11</xdr:row>
      <xdr:rowOff>95250</xdr:rowOff>
    </xdr:from>
    <xdr:to>
      <xdr:col>8</xdr:col>
      <xdr:colOff>76200</xdr:colOff>
      <xdr:row>22</xdr:row>
      <xdr:rowOff>257175</xdr:rowOff>
    </xdr:to>
    <xdr:cxnSp macro="">
      <xdr:nvCxnSpPr>
        <xdr:cNvPr id="36" name="Straight Connector 35">
          <a:extLst>
            <a:ext uri="{FF2B5EF4-FFF2-40B4-BE49-F238E27FC236}">
              <a16:creationId xmlns:a16="http://schemas.microsoft.com/office/drawing/2014/main" id="{00000000-0008-0000-0800-000024000000}"/>
            </a:ext>
          </a:extLst>
        </xdr:cNvPr>
        <xdr:cNvCxnSpPr/>
      </xdr:nvCxnSpPr>
      <xdr:spPr>
        <a:xfrm>
          <a:off x="7362825" y="2628900"/>
          <a:ext cx="0" cy="592455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24852F-BD21-46B7-A78D-211F0B51A2F7}" name="Table1" displayName="Table1" ref="R77:V88" totalsRowShown="0" headerRowDxfId="46" dataDxfId="45">
  <tableColumns count="5">
    <tableColumn id="1" xr3:uid="{79BA45CB-838D-4AE6-89AD-02A74833280C}" name="Year" dataDxfId="44"/>
    <tableColumn id="2" xr3:uid="{E56324F0-4D9E-43C0-A63E-84966B1989F7}" name="Cash inflow" dataDxfId="43"/>
    <tableColumn id="3" xr3:uid="{C920C81F-B0A6-4832-83B5-4966CD135D90}" name="Cash outflow" dataDxfId="42">
      <calculatedColumnFormula>VLOOKUP(Q78,$Q$39:$V$73,4,0)</calculatedColumnFormula>
    </tableColumn>
    <tableColumn id="4" xr3:uid="{C9CA6FE7-2A80-4098-A8C7-3231CF02F7B9}" name="Cashflow" dataDxfId="41"/>
    <tableColumn id="5" xr3:uid="{493E54F6-D591-436C-BB6A-16952F92D97B}" name="Cumulative Cashflow" dataDxfId="40"/>
  </tableColumns>
  <tableStyleInfo name="TableStyleDark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D18F6DB-1FC6-4029-A169-98402F297F09}" name="Table2" displayName="Table2" ref="R9:T16" totalsRowShown="0" headerRowDxfId="39" dataDxfId="38">
  <tableColumns count="3">
    <tableColumn id="1" xr3:uid="{42E47BCB-08AD-48E5-85B0-C2C59B61CB3D}" name="Investment area" dataDxfId="37"/>
    <tableColumn id="2" xr3:uid="{A419C1F6-77DC-4150-9315-F8F7B5EF7072}" name="Cost" dataDxfId="36">
      <calculatedColumnFormula>VLOOKUP(Q10,$N$10:$O$45,2,0)</calculatedColumnFormula>
    </tableColumn>
    <tableColumn id="3" xr3:uid="{B0E25015-4FD8-46CE-B5BA-C5282A2A9057}" name="%" dataDxfId="35">
      <calculatedColumnFormula>Table2[[#This Row],[Cost]]/SUM(Table2[Cost])</calculatedColumnFormula>
    </tableColumn>
  </tableColumns>
  <tableStyleInfo name="TableStyleDark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1D2085D-C18D-45D0-9DB1-D4CA8922BE1C}" name="Table3" displayName="Table3" ref="V9:X14" totalsRowShown="0" headerRowDxfId="34" dataDxfId="33">
  <tableColumns count="3">
    <tableColumn id="1" xr3:uid="{6544FEE2-5692-4FB1-9C5D-497B2757933E}" name="Maintenance area" dataDxfId="32"/>
    <tableColumn id="2" xr3:uid="{25216C2B-4CF3-4ABF-B41F-E3655DD734ED}" name="Cost" dataDxfId="31">
      <calculatedColumnFormula>VLOOKUP(U10,$N$10:$O$45,2,0)</calculatedColumnFormula>
    </tableColumn>
    <tableColumn id="3" xr3:uid="{0FD69599-E2C6-4B2F-9C88-59608B4813BC}" name="%" dataDxfId="30">
      <calculatedColumnFormula>Table3[[#This Row],[Cost]]/SUM(Table3[Cost])</calculatedColumnFormula>
    </tableColumn>
  </tableColumns>
  <tableStyleInfo name="TableStyleDark3"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891AD"/>
      </a:accent1>
      <a:accent2>
        <a:srgbClr val="004561"/>
      </a:accent2>
      <a:accent3>
        <a:srgbClr val="FF6F31"/>
      </a:accent3>
      <a:accent4>
        <a:srgbClr val="1C7685"/>
      </a:accent4>
      <a:accent5>
        <a:srgbClr val="0F45A8"/>
      </a:accent5>
      <a:accent6>
        <a:srgbClr val="4CDC8B"/>
      </a:accent6>
      <a:hlink>
        <a:srgbClr val="0097A7"/>
      </a:hlink>
      <a:folHlink>
        <a:srgbClr val="0097A7"/>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vmlDrawing" Target="../drawings/vmlDrawing1.vml"/><Relationship Id="rId7"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table" Target="../tables/table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coststorage.com/about/" TargetMode="External"/><Relationship Id="rId7" Type="http://schemas.openxmlformats.org/officeDocument/2006/relationships/hyperlink" Target="https://www.ibm.com/watson/assets/duo/pdf/watson_assistant/The_Total_Economic_Impact_of_IBM_Watson_Assistant-March_2020_v3.pdf" TargetMode="External"/><Relationship Id="rId2" Type="http://schemas.openxmlformats.org/officeDocument/2006/relationships/hyperlink" Target="https://calculator.aws/" TargetMode="External"/><Relationship Id="rId1" Type="http://schemas.openxmlformats.org/officeDocument/2006/relationships/hyperlink" Target="https://www.mckinsey.com/business-functions/mckinsey-analytics/our-insights/the-executives-ai-playbook?page=industries/" TargetMode="External"/><Relationship Id="rId6" Type="http://schemas.openxmlformats.org/officeDocument/2006/relationships/hyperlink" Target="https://de.scribd.com/document/258465469/Truetco-Model" TargetMode="External"/><Relationship Id="rId5" Type="http://schemas.openxmlformats.org/officeDocument/2006/relationships/hyperlink" Target="https://azure.microsoft.com/de-de/pricing/tco/calculator/" TargetMode="External"/><Relationship Id="rId4" Type="http://schemas.openxmlformats.org/officeDocument/2006/relationships/hyperlink" Target="https://cloud.google.com/pricing"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7D0CA-F7DB-4D99-A593-9A5A0B7444F1}">
  <sheetPr codeName="Sheet2"/>
  <dimension ref="A1:U35"/>
  <sheetViews>
    <sheetView showRowColHeaders="0" tabSelected="1" zoomScale="80" zoomScaleNormal="80" workbookViewId="0">
      <pane ySplit="7" topLeftCell="A8" activePane="bottomLeft" state="frozen"/>
      <selection pane="bottomLeft" activeCell="E9" sqref="E9"/>
    </sheetView>
  </sheetViews>
  <sheetFormatPr baseColWidth="10" defaultColWidth="0" defaultRowHeight="12.75" customHeight="1" zeroHeight="1"/>
  <cols>
    <col min="1" max="1" width="5.81640625" style="1" customWidth="1"/>
    <col min="2" max="2" width="12.81640625" style="1" customWidth="1"/>
    <col min="3" max="3" width="19.453125" style="1" customWidth="1"/>
    <col min="4" max="4" width="2.81640625" style="1" customWidth="1"/>
    <col min="5" max="5" width="60" style="1" customWidth="1"/>
    <col min="6" max="6" width="9.1796875" style="1" customWidth="1"/>
    <col min="7" max="7" width="6.81640625" style="1" customWidth="1"/>
    <col min="8" max="8" width="17.1796875" style="1" customWidth="1"/>
    <col min="9" max="9" width="2.81640625" style="1" customWidth="1"/>
    <col min="10" max="10" width="60" style="1" customWidth="1"/>
    <col min="11" max="11" width="9.1796875" style="1" customWidth="1"/>
    <col min="12" max="12" width="4.54296875" style="1" customWidth="1"/>
    <col min="13" max="14" width="9.1796875" style="1" customWidth="1"/>
    <col min="15" max="15" width="2.1796875" style="1" customWidth="1"/>
    <col min="16" max="18" width="0" style="1" hidden="1" customWidth="1"/>
    <col min="19" max="16384" width="9.1796875" style="1" hidden="1"/>
  </cols>
  <sheetData>
    <row r="1" spans="2:15" ht="48" customHeight="1">
      <c r="J1" s="229"/>
      <c r="K1" s="228"/>
      <c r="L1" s="277" t="s">
        <v>382</v>
      </c>
      <c r="M1" s="277"/>
      <c r="N1" s="277"/>
      <c r="O1" s="277"/>
    </row>
    <row r="2" spans="2:15" ht="15.5">
      <c r="B2" s="3"/>
      <c r="C2" s="3"/>
      <c r="D2" s="3"/>
      <c r="E2" s="3"/>
      <c r="F2" s="3"/>
      <c r="G2" s="3"/>
      <c r="H2" s="3"/>
      <c r="I2" s="3"/>
      <c r="J2" s="3"/>
      <c r="K2" s="3"/>
      <c r="N2" s="213" t="str">
        <f>IF(L1="Currency: USD","$","€")</f>
        <v>€</v>
      </c>
    </row>
    <row r="3" spans="2:15" ht="15.5">
      <c r="B3" s="3"/>
      <c r="C3" s="211"/>
      <c r="D3" s="3"/>
      <c r="E3" s="3"/>
      <c r="F3" s="3"/>
      <c r="G3" s="3"/>
      <c r="H3" s="3"/>
      <c r="I3" s="3"/>
      <c r="J3" s="3"/>
      <c r="K3" s="3"/>
      <c r="N3" s="213" t="str">
        <f>IF(L1="Currency: USD","In $","In €")</f>
        <v>In €</v>
      </c>
    </row>
    <row r="4" spans="2:15" ht="15.5">
      <c r="B4" s="3"/>
      <c r="C4" s="3"/>
      <c r="D4" s="3"/>
      <c r="E4" s="3"/>
      <c r="F4" s="3"/>
      <c r="G4" s="3"/>
      <c r="H4" s="3"/>
      <c r="I4" s="3"/>
      <c r="J4" s="3"/>
      <c r="K4" s="3"/>
    </row>
    <row r="5" spans="2:15" ht="15.5">
      <c r="B5" s="3"/>
      <c r="C5" s="3"/>
      <c r="D5" s="3"/>
      <c r="E5" s="3"/>
      <c r="F5" s="3"/>
      <c r="G5" s="3"/>
      <c r="H5" s="3"/>
      <c r="I5" s="3"/>
      <c r="J5" s="3"/>
      <c r="K5" s="3"/>
    </row>
    <row r="6" spans="2:15" ht="15.5">
      <c r="B6" s="3"/>
      <c r="C6" s="3"/>
      <c r="D6" s="3"/>
      <c r="E6" s="3"/>
      <c r="F6" s="3"/>
      <c r="G6" s="3"/>
      <c r="H6" s="3"/>
      <c r="I6" s="3"/>
      <c r="J6" s="3"/>
      <c r="K6" s="3"/>
    </row>
    <row r="7" spans="2:15" ht="15.5">
      <c r="B7" s="3"/>
      <c r="C7" s="3"/>
      <c r="D7" s="3"/>
      <c r="E7" s="3"/>
      <c r="F7" s="3"/>
      <c r="G7" s="3"/>
      <c r="H7" s="3"/>
      <c r="I7" s="3"/>
      <c r="J7" s="3"/>
      <c r="K7" s="3"/>
    </row>
    <row r="8" spans="2:15" ht="15.5">
      <c r="B8" s="4"/>
      <c r="C8" s="4"/>
      <c r="D8" s="4"/>
      <c r="E8" s="4"/>
      <c r="F8" s="4"/>
      <c r="G8" s="4"/>
      <c r="H8" s="4"/>
      <c r="I8" s="4"/>
      <c r="J8" s="4"/>
      <c r="K8" s="4"/>
    </row>
    <row r="9" spans="2:15" ht="30" customHeight="1">
      <c r="B9" s="4"/>
      <c r="C9" s="5"/>
      <c r="D9" s="4"/>
      <c r="E9" s="9"/>
      <c r="F9" s="4"/>
      <c r="G9" s="4"/>
      <c r="H9" s="5"/>
      <c r="I9" s="4"/>
      <c r="J9" s="279"/>
      <c r="K9" s="4"/>
    </row>
    <row r="10" spans="2:15" ht="15.5">
      <c r="B10" s="4"/>
      <c r="C10" s="4"/>
      <c r="D10" s="4"/>
      <c r="E10" s="4"/>
      <c r="F10" s="4"/>
      <c r="G10" s="4"/>
      <c r="H10" s="4"/>
      <c r="I10" s="4"/>
      <c r="J10" s="279"/>
      <c r="K10" s="4"/>
    </row>
    <row r="11" spans="2:15" ht="30" customHeight="1">
      <c r="B11" s="4"/>
      <c r="C11" s="5"/>
      <c r="D11" s="4"/>
      <c r="E11" s="9"/>
      <c r="F11" s="4"/>
      <c r="G11" s="4"/>
      <c r="H11" s="4"/>
      <c r="I11" s="4"/>
      <c r="J11" s="279"/>
      <c r="K11" s="4"/>
    </row>
    <row r="12" spans="2:15" ht="15.5">
      <c r="B12" s="4"/>
      <c r="C12" s="4"/>
      <c r="D12" s="4"/>
      <c r="E12" s="4"/>
      <c r="F12" s="4"/>
      <c r="G12" s="4"/>
      <c r="H12" s="4"/>
      <c r="I12" s="4"/>
      <c r="J12" s="279"/>
      <c r="K12" s="4"/>
    </row>
    <row r="13" spans="2:15" ht="30" customHeight="1">
      <c r="B13" s="4"/>
      <c r="C13" s="5"/>
      <c r="D13" s="4"/>
      <c r="E13" s="9"/>
      <c r="F13" s="4"/>
      <c r="G13" s="4"/>
      <c r="H13" s="4"/>
      <c r="I13" s="4"/>
      <c r="J13" s="279"/>
      <c r="K13" s="4"/>
    </row>
    <row r="14" spans="2:15" ht="15.5">
      <c r="B14" s="4"/>
      <c r="C14" s="4"/>
      <c r="D14" s="4"/>
      <c r="E14" s="4"/>
      <c r="F14" s="4"/>
      <c r="G14" s="4"/>
      <c r="H14" s="4"/>
      <c r="I14" s="4"/>
      <c r="J14" s="4"/>
      <c r="K14" s="4"/>
    </row>
    <row r="15" spans="2:15" ht="30" customHeight="1">
      <c r="B15" s="4"/>
      <c r="C15" s="5"/>
      <c r="D15" s="4"/>
      <c r="E15" s="279"/>
      <c r="F15" s="4"/>
      <c r="G15" s="4"/>
      <c r="H15" s="5"/>
      <c r="I15" s="4"/>
      <c r="J15" s="279"/>
      <c r="K15" s="4"/>
    </row>
    <row r="16" spans="2:15" ht="15.5">
      <c r="B16" s="4"/>
      <c r="C16" s="4"/>
      <c r="D16" s="4"/>
      <c r="E16" s="279"/>
      <c r="F16" s="4"/>
      <c r="G16" s="4"/>
      <c r="H16" s="4"/>
      <c r="I16" s="4"/>
      <c r="J16" s="279"/>
      <c r="K16" s="4"/>
    </row>
    <row r="17" spans="2:21" ht="30" customHeight="1">
      <c r="B17" s="4"/>
      <c r="C17" s="4"/>
      <c r="D17" s="4"/>
      <c r="E17" s="279"/>
      <c r="F17" s="4"/>
      <c r="G17" s="4"/>
      <c r="H17" s="4"/>
      <c r="I17" s="4"/>
      <c r="J17" s="279"/>
      <c r="K17" s="4"/>
    </row>
    <row r="18" spans="2:21" ht="15.5">
      <c r="B18" s="4"/>
      <c r="C18" s="4"/>
      <c r="D18" s="4"/>
      <c r="E18" s="279"/>
      <c r="F18" s="4"/>
      <c r="G18" s="4"/>
      <c r="H18" s="4"/>
      <c r="I18" s="4"/>
      <c r="J18" s="279"/>
      <c r="K18" s="4"/>
    </row>
    <row r="19" spans="2:21" ht="30" customHeight="1">
      <c r="B19" s="4"/>
      <c r="C19" s="4"/>
      <c r="D19" s="4"/>
      <c r="E19" s="279"/>
      <c r="F19" s="4"/>
      <c r="G19" s="4"/>
      <c r="H19" s="4"/>
      <c r="I19" s="4"/>
      <c r="J19" s="279"/>
      <c r="K19" s="4"/>
    </row>
    <row r="20" spans="2:21" ht="15.5">
      <c r="B20" s="4"/>
      <c r="C20" s="4"/>
      <c r="D20" s="4"/>
      <c r="E20" s="4"/>
      <c r="F20" s="4"/>
      <c r="G20" s="4"/>
      <c r="H20" s="4"/>
      <c r="I20" s="4"/>
      <c r="J20" s="4"/>
      <c r="K20" s="4"/>
    </row>
    <row r="21" spans="2:21" ht="30" customHeight="1">
      <c r="B21" s="4"/>
      <c r="C21" s="5"/>
      <c r="D21" s="4"/>
      <c r="E21" s="279"/>
      <c r="F21" s="4"/>
      <c r="G21" s="4"/>
      <c r="H21" s="5"/>
      <c r="I21" s="4"/>
      <c r="J21" s="279"/>
      <c r="K21" s="4"/>
    </row>
    <row r="22" spans="2:21" ht="15" customHeight="1">
      <c r="B22" s="4"/>
      <c r="C22" s="4"/>
      <c r="D22" s="4"/>
      <c r="E22" s="279"/>
      <c r="F22" s="4"/>
      <c r="G22" s="4"/>
      <c r="H22" s="4"/>
      <c r="I22" s="4"/>
      <c r="J22" s="279"/>
      <c r="K22" s="4"/>
    </row>
    <row r="23" spans="2:21" ht="30" customHeight="1">
      <c r="B23" s="4"/>
      <c r="C23" s="4"/>
      <c r="D23" s="4"/>
      <c r="E23" s="279"/>
      <c r="F23" s="4"/>
      <c r="G23" s="4"/>
      <c r="H23" s="4"/>
      <c r="I23" s="4"/>
      <c r="J23" s="279"/>
      <c r="K23" s="4"/>
    </row>
    <row r="24" spans="2:21" ht="15" customHeight="1">
      <c r="B24" s="4"/>
      <c r="C24" s="4"/>
      <c r="D24" s="4"/>
      <c r="E24" s="279"/>
      <c r="F24" s="4"/>
      <c r="G24" s="4"/>
      <c r="H24" s="4"/>
      <c r="I24" s="4"/>
      <c r="J24" s="279"/>
      <c r="K24" s="4"/>
    </row>
    <row r="25" spans="2:21" ht="30" customHeight="1">
      <c r="B25" s="4"/>
      <c r="C25" s="4"/>
      <c r="D25" s="4"/>
      <c r="E25" s="279"/>
      <c r="F25" s="4"/>
      <c r="G25" s="4"/>
      <c r="H25" s="4"/>
      <c r="I25" s="4"/>
      <c r="J25" s="279"/>
      <c r="K25" s="4"/>
    </row>
    <row r="26" spans="2:21" ht="15.5">
      <c r="B26" s="4"/>
      <c r="C26" s="4"/>
      <c r="D26" s="4"/>
      <c r="E26" s="4"/>
      <c r="F26" s="4"/>
      <c r="G26" s="4"/>
      <c r="H26" s="4"/>
      <c r="I26" s="4"/>
      <c r="J26" s="4"/>
      <c r="K26" s="4"/>
    </row>
    <row r="27" spans="2:21" ht="30" customHeight="1">
      <c r="B27" s="4"/>
      <c r="C27" s="280"/>
      <c r="D27" s="280"/>
      <c r="E27" s="14"/>
      <c r="F27" s="4"/>
      <c r="G27" s="280"/>
      <c r="H27" s="280"/>
      <c r="I27" s="8"/>
      <c r="J27" s="12"/>
      <c r="K27" s="4"/>
      <c r="M27" s="6" t="s">
        <v>25</v>
      </c>
      <c r="N27" s="276" t="s">
        <v>27</v>
      </c>
      <c r="O27" s="276"/>
      <c r="P27" s="276"/>
      <c r="Q27" s="276"/>
      <c r="R27" s="276"/>
      <c r="S27" s="276"/>
      <c r="T27" s="276"/>
      <c r="U27" s="276"/>
    </row>
    <row r="28" spans="2:21" ht="15.75" customHeight="1">
      <c r="B28" s="4"/>
      <c r="C28" s="5"/>
      <c r="D28" s="4"/>
      <c r="E28" s="4"/>
      <c r="F28" s="4"/>
      <c r="G28" s="2"/>
      <c r="H28" s="8"/>
      <c r="I28" s="8"/>
      <c r="J28" s="10"/>
      <c r="K28" s="4"/>
      <c r="M28" s="7" t="s">
        <v>21</v>
      </c>
      <c r="N28" s="276" t="s">
        <v>28</v>
      </c>
      <c r="O28" s="276"/>
      <c r="P28" s="276"/>
      <c r="Q28" s="276"/>
      <c r="R28" s="276"/>
      <c r="S28" s="276"/>
      <c r="T28" s="276"/>
      <c r="U28" s="276"/>
    </row>
    <row r="29" spans="2:21" ht="60" customHeight="1">
      <c r="B29" s="4"/>
      <c r="C29" s="5"/>
      <c r="D29" s="4"/>
      <c r="E29" s="9"/>
      <c r="F29" s="4"/>
      <c r="G29" s="2"/>
      <c r="H29" s="8"/>
      <c r="I29" s="8"/>
      <c r="J29" s="10"/>
      <c r="K29" s="4"/>
      <c r="M29" s="7" t="s">
        <v>22</v>
      </c>
      <c r="N29" s="276" t="s">
        <v>262</v>
      </c>
      <c r="O29" s="276"/>
      <c r="P29" s="276"/>
      <c r="Q29" s="276"/>
      <c r="R29" s="276"/>
      <c r="S29" s="276"/>
      <c r="T29" s="276"/>
      <c r="U29" s="276"/>
    </row>
    <row r="30" spans="2:21" ht="30" customHeight="1">
      <c r="B30" s="4"/>
      <c r="C30" s="5"/>
      <c r="D30" s="4"/>
      <c r="E30" s="11"/>
      <c r="F30" s="4"/>
      <c r="G30" s="2"/>
      <c r="H30" s="8"/>
      <c r="I30" s="8"/>
      <c r="J30" s="10"/>
      <c r="K30" s="4"/>
      <c r="M30" s="7" t="s">
        <v>23</v>
      </c>
      <c r="N30" s="276" t="s">
        <v>29</v>
      </c>
      <c r="O30" s="276"/>
      <c r="P30" s="276"/>
      <c r="Q30" s="276"/>
      <c r="R30" s="276"/>
      <c r="S30" s="276"/>
      <c r="T30" s="276"/>
      <c r="U30" s="276"/>
    </row>
    <row r="31" spans="2:21" ht="60" customHeight="1">
      <c r="B31" s="278"/>
      <c r="C31" s="278"/>
      <c r="D31" s="278"/>
      <c r="E31" s="278"/>
      <c r="F31" s="278"/>
      <c r="G31" s="278"/>
      <c r="H31" s="278"/>
      <c r="I31" s="278"/>
      <c r="J31" s="278"/>
      <c r="K31" s="278"/>
      <c r="M31" s="6" t="s">
        <v>35</v>
      </c>
      <c r="N31" s="276" t="s">
        <v>34</v>
      </c>
      <c r="O31" s="276"/>
      <c r="P31" s="276"/>
      <c r="Q31" s="276"/>
      <c r="R31" s="276"/>
      <c r="S31" s="276"/>
      <c r="T31" s="276"/>
      <c r="U31" s="276"/>
    </row>
    <row r="32" spans="2:21" ht="15" customHeight="1">
      <c r="B32" s="4"/>
      <c r="C32" s="4"/>
      <c r="D32" s="4"/>
      <c r="E32" s="4"/>
      <c r="F32" s="4"/>
      <c r="G32" s="4"/>
      <c r="H32" s="4"/>
      <c r="I32" s="4"/>
      <c r="J32" s="4"/>
      <c r="K32" s="4"/>
      <c r="M32" s="15" t="s">
        <v>24</v>
      </c>
      <c r="N32" s="275" t="s">
        <v>30</v>
      </c>
      <c r="O32" s="275"/>
      <c r="P32" s="275"/>
      <c r="Q32" s="275"/>
      <c r="R32" s="275"/>
      <c r="S32" s="275"/>
      <c r="T32" s="275"/>
      <c r="U32" s="275"/>
    </row>
    <row r="33" spans="2:21" ht="15" customHeight="1">
      <c r="B33" s="13"/>
      <c r="C33" s="13"/>
      <c r="D33" s="4"/>
      <c r="E33" s="17"/>
      <c r="F33" s="4"/>
      <c r="G33" s="4"/>
      <c r="H33" s="4"/>
      <c r="I33" s="4"/>
      <c r="J33" s="4"/>
      <c r="K33" s="4"/>
      <c r="M33" s="16" t="s">
        <v>26</v>
      </c>
      <c r="N33" s="275" t="s">
        <v>32</v>
      </c>
      <c r="O33" s="275"/>
      <c r="P33" s="275"/>
      <c r="Q33" s="275"/>
      <c r="R33" s="275"/>
      <c r="S33" s="275"/>
      <c r="T33" s="275"/>
      <c r="U33" s="275"/>
    </row>
    <row r="34" spans="2:21" ht="13"/>
    <row r="35" spans="2:21" ht="13"/>
  </sheetData>
  <sheetProtection sheet="1" selectLockedCells="1"/>
  <mergeCells count="16">
    <mergeCell ref="L1:O1"/>
    <mergeCell ref="B31:K31"/>
    <mergeCell ref="N31:U31"/>
    <mergeCell ref="J9:J13"/>
    <mergeCell ref="E15:E19"/>
    <mergeCell ref="J15:J19"/>
    <mergeCell ref="E21:E25"/>
    <mergeCell ref="J21:J25"/>
    <mergeCell ref="C27:D27"/>
    <mergeCell ref="G27:H27"/>
    <mergeCell ref="N32:U32"/>
    <mergeCell ref="N33:U33"/>
    <mergeCell ref="N27:U27"/>
    <mergeCell ref="N28:U28"/>
    <mergeCell ref="N29:U29"/>
    <mergeCell ref="N30:U30"/>
  </mergeCells>
  <dataValidations count="2">
    <dataValidation type="list" allowBlank="1" showInputMessage="1" showErrorMessage="1" sqref="E29" xr:uid="{1E1AE287-DA50-4A5D-8DBE-1A09B55824D9}">
      <formula1>"Pre-exploration phase, Exploration phase, Data preprocessing phase, Model creation phase, Post-MVP/ Pre- depl. assessment, Deployment phase, Operation phase"</formula1>
    </dataValidation>
    <dataValidation type="list" allowBlank="1" showInputMessage="1" showErrorMessage="1" sqref="L1:O1" xr:uid="{90E0ADEE-E00C-4BF9-8D57-E1E25F8D379B}">
      <formula1>"Currency: USD,Currency: EUR"</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0BF69-80B6-4070-87AF-441722904226}">
  <sheetPr codeName="Sheet3">
    <tabColor rgb="FF3CAEA3"/>
  </sheetPr>
  <dimension ref="A1:Y116"/>
  <sheetViews>
    <sheetView showRowColHeaders="0" zoomScale="80" zoomScaleNormal="80" workbookViewId="0">
      <pane ySplit="7" topLeftCell="A8" activePane="bottomLeft" state="frozen"/>
      <selection pane="bottomLeft" activeCell="E9" sqref="E9:I9"/>
    </sheetView>
  </sheetViews>
  <sheetFormatPr baseColWidth="10" defaultColWidth="0" defaultRowHeight="12.5" zeroHeight="1"/>
  <cols>
    <col min="1" max="1" width="5.81640625" style="18" customWidth="1"/>
    <col min="2" max="2" width="15.54296875" style="18" customWidth="1"/>
    <col min="3" max="3" width="19.453125" style="18" customWidth="1"/>
    <col min="4" max="4" width="2.81640625" style="18" customWidth="1"/>
    <col min="5" max="5" width="18.453125" style="18" customWidth="1"/>
    <col min="6" max="6" width="3.1796875" style="18" customWidth="1"/>
    <col min="7" max="7" width="20.453125" style="18" customWidth="1"/>
    <col min="8" max="8" width="3.1796875" style="18" customWidth="1"/>
    <col min="9" max="9" width="21.1796875" style="18" customWidth="1"/>
    <col min="10" max="10" width="9.1796875" style="18" customWidth="1"/>
    <col min="11" max="11" width="13.453125" style="18" customWidth="1"/>
    <col min="12" max="12" width="6.453125" style="18" customWidth="1"/>
    <col min="13" max="13" width="2.81640625" style="18" customWidth="1"/>
    <col min="14" max="14" width="60" style="18" customWidth="1"/>
    <col min="15" max="16" width="9.1796875" style="18" customWidth="1"/>
    <col min="17" max="17" width="9.1796875" style="242" customWidth="1"/>
    <col min="18" max="18" width="9.1796875" style="20" customWidth="1"/>
    <col min="19" max="19" width="2.1796875" style="20" customWidth="1"/>
    <col min="20" max="25" width="9.1796875" style="20" hidden="1" customWidth="1"/>
    <col min="26" max="16384" width="9.1796875" style="230" hidden="1"/>
  </cols>
  <sheetData>
    <row r="1" spans="2:16" ht="48" customHeight="1"/>
    <row r="2" spans="2:16" ht="15.5">
      <c r="B2" s="19"/>
      <c r="C2" s="19"/>
      <c r="D2" s="19"/>
      <c r="E2" s="19"/>
      <c r="F2" s="19"/>
      <c r="G2" s="19"/>
      <c r="H2" s="19"/>
      <c r="I2" s="19"/>
      <c r="J2" s="19"/>
      <c r="K2" s="19"/>
      <c r="L2" s="19"/>
      <c r="M2" s="19"/>
      <c r="N2" s="19"/>
      <c r="O2" s="19"/>
    </row>
    <row r="3" spans="2:16" ht="15.5">
      <c r="B3" s="19"/>
      <c r="C3" s="19"/>
      <c r="D3" s="19"/>
      <c r="E3" s="19"/>
      <c r="F3" s="19"/>
      <c r="G3" s="19"/>
      <c r="H3" s="19"/>
      <c r="I3" s="19"/>
      <c r="J3" s="19"/>
      <c r="K3" s="19"/>
      <c r="L3" s="19"/>
      <c r="M3" s="19"/>
      <c r="N3" s="19"/>
      <c r="O3" s="19"/>
    </row>
    <row r="4" spans="2:16" ht="15.5">
      <c r="B4" s="19"/>
      <c r="C4" s="19"/>
      <c r="D4" s="19"/>
      <c r="E4" s="19"/>
      <c r="F4" s="19"/>
      <c r="G4" s="19"/>
      <c r="H4" s="19"/>
      <c r="I4" s="19"/>
      <c r="J4" s="19"/>
      <c r="K4" s="19"/>
      <c r="L4" s="19"/>
      <c r="M4" s="19"/>
      <c r="N4" s="19"/>
      <c r="O4" s="19"/>
    </row>
    <row r="5" spans="2:16" ht="15.5">
      <c r="B5" s="19"/>
      <c r="C5" s="19"/>
      <c r="D5" s="19"/>
      <c r="E5" s="19"/>
      <c r="F5" s="19"/>
      <c r="G5" s="19"/>
      <c r="H5" s="19"/>
      <c r="I5" s="19"/>
      <c r="J5" s="19"/>
      <c r="K5" s="19"/>
      <c r="L5" s="19"/>
      <c r="M5" s="19"/>
      <c r="N5" s="19"/>
      <c r="O5" s="19"/>
    </row>
    <row r="6" spans="2:16" ht="15.5">
      <c r="B6" s="19"/>
      <c r="C6" s="19"/>
      <c r="D6" s="19"/>
      <c r="E6" s="19"/>
      <c r="F6" s="19"/>
      <c r="G6" s="19"/>
      <c r="H6" s="19"/>
      <c r="I6" s="19"/>
      <c r="J6" s="19"/>
      <c r="K6" s="19"/>
      <c r="L6" s="19"/>
      <c r="M6" s="19"/>
      <c r="N6" s="19"/>
      <c r="O6" s="19"/>
    </row>
    <row r="7" spans="2:16" ht="15.5">
      <c r="B7" s="19"/>
      <c r="C7" s="19"/>
      <c r="D7" s="19"/>
      <c r="E7" s="19"/>
      <c r="F7" s="19"/>
      <c r="G7" s="19"/>
      <c r="H7" s="19"/>
      <c r="I7" s="19"/>
      <c r="J7" s="19"/>
      <c r="K7" s="19"/>
      <c r="L7" s="19"/>
      <c r="M7" s="19"/>
      <c r="N7" s="19"/>
      <c r="O7" s="19"/>
      <c r="P7" s="20"/>
    </row>
    <row r="8" spans="2:16" ht="15.5">
      <c r="B8" s="21"/>
      <c r="C8" s="21"/>
      <c r="D8" s="21"/>
      <c r="E8" s="21"/>
      <c r="F8" s="21"/>
      <c r="G8" s="21"/>
      <c r="H8" s="21"/>
      <c r="I8" s="21"/>
      <c r="J8" s="21"/>
      <c r="K8" s="21"/>
      <c r="L8" s="21"/>
      <c r="M8" s="21"/>
      <c r="N8" s="21"/>
      <c r="O8" s="21"/>
    </row>
    <row r="9" spans="2:16" ht="30" customHeight="1">
      <c r="B9" s="21"/>
      <c r="C9" s="22" t="s">
        <v>109</v>
      </c>
      <c r="D9" s="21"/>
      <c r="E9" s="298" t="s">
        <v>151</v>
      </c>
      <c r="F9" s="298"/>
      <c r="G9" s="298"/>
      <c r="H9" s="298"/>
      <c r="I9" s="298"/>
      <c r="J9" s="21"/>
      <c r="K9" s="21"/>
      <c r="L9" s="22" t="s">
        <v>0</v>
      </c>
      <c r="M9" s="21"/>
      <c r="N9" s="297" t="s">
        <v>310</v>
      </c>
      <c r="O9" s="21"/>
    </row>
    <row r="10" spans="2:16" ht="15.5">
      <c r="B10" s="21"/>
      <c r="C10" s="21"/>
      <c r="D10" s="21"/>
      <c r="E10" s="21"/>
      <c r="F10" s="21"/>
      <c r="G10" s="21"/>
      <c r="H10" s="21"/>
      <c r="I10" s="21"/>
      <c r="J10" s="21"/>
      <c r="K10" s="21"/>
      <c r="L10" s="21"/>
      <c r="M10" s="21"/>
      <c r="N10" s="297"/>
      <c r="O10" s="21"/>
    </row>
    <row r="11" spans="2:16" ht="30" customHeight="1">
      <c r="B11" s="21"/>
      <c r="C11" s="22" t="s">
        <v>108</v>
      </c>
      <c r="D11" s="21"/>
      <c r="E11" s="298" t="s">
        <v>278</v>
      </c>
      <c r="F11" s="298"/>
      <c r="G11" s="298"/>
      <c r="H11" s="298"/>
      <c r="I11" s="298"/>
      <c r="J11" s="21"/>
      <c r="K11" s="21"/>
      <c r="L11" s="21"/>
      <c r="M11" s="21"/>
      <c r="N11" s="297"/>
      <c r="O11" s="21"/>
    </row>
    <row r="12" spans="2:16" ht="15.5">
      <c r="B12" s="21"/>
      <c r="C12" s="21"/>
      <c r="D12" s="21"/>
      <c r="E12" s="21"/>
      <c r="F12" s="21"/>
      <c r="G12" s="21"/>
      <c r="H12" s="21"/>
      <c r="I12" s="21"/>
      <c r="J12" s="21"/>
      <c r="K12" s="21"/>
      <c r="L12" s="21"/>
      <c r="M12" s="21"/>
      <c r="N12" s="297"/>
      <c r="O12" s="21"/>
    </row>
    <row r="13" spans="2:16" ht="30" customHeight="1">
      <c r="B13" s="21"/>
      <c r="C13" s="22" t="s">
        <v>113</v>
      </c>
      <c r="D13" s="21"/>
      <c r="E13" s="298"/>
      <c r="F13" s="298"/>
      <c r="G13" s="298"/>
      <c r="H13" s="298"/>
      <c r="I13" s="298"/>
      <c r="J13" s="21"/>
      <c r="K13" s="21"/>
      <c r="L13" s="21"/>
      <c r="M13" s="21"/>
      <c r="N13" s="297"/>
      <c r="O13" s="21"/>
    </row>
    <row r="14" spans="2:16" ht="15.5">
      <c r="B14" s="21"/>
      <c r="C14" s="21"/>
      <c r="D14" s="21"/>
      <c r="E14" s="21"/>
      <c r="F14" s="21"/>
      <c r="G14" s="21"/>
      <c r="H14" s="21"/>
      <c r="I14" s="21"/>
      <c r="J14" s="21"/>
      <c r="K14" s="21"/>
      <c r="L14" s="21"/>
      <c r="M14" s="21"/>
      <c r="N14" s="24"/>
      <c r="O14" s="21"/>
    </row>
    <row r="15" spans="2:16" ht="30" customHeight="1">
      <c r="B15" s="21"/>
      <c r="C15" s="22" t="s">
        <v>38</v>
      </c>
      <c r="D15" s="21"/>
      <c r="E15" s="298"/>
      <c r="F15" s="298"/>
      <c r="G15" s="298"/>
      <c r="H15" s="298"/>
      <c r="I15" s="298"/>
      <c r="J15" s="21"/>
      <c r="K15" s="21"/>
      <c r="L15" s="21"/>
      <c r="M15" s="21"/>
      <c r="N15" s="24"/>
      <c r="O15" s="21"/>
    </row>
    <row r="16" spans="2:16" ht="15.5">
      <c r="B16" s="21"/>
      <c r="C16" s="21"/>
      <c r="D16" s="21"/>
      <c r="E16" s="21"/>
      <c r="F16" s="21"/>
      <c r="G16" s="21"/>
      <c r="H16" s="21"/>
      <c r="I16" s="21"/>
      <c r="J16" s="21"/>
      <c r="K16" s="21"/>
      <c r="L16" s="21"/>
      <c r="M16" s="21"/>
      <c r="N16" s="25"/>
      <c r="O16" s="21"/>
    </row>
    <row r="17" spans="2:25" ht="30" customHeight="1">
      <c r="B17" s="21"/>
      <c r="C17" s="22" t="s">
        <v>1</v>
      </c>
      <c r="D17" s="21"/>
      <c r="E17" s="295" t="s">
        <v>263</v>
      </c>
      <c r="F17" s="295"/>
      <c r="G17" s="295"/>
      <c r="H17" s="295"/>
      <c r="I17" s="295"/>
      <c r="J17" s="21"/>
      <c r="K17" s="21"/>
      <c r="L17" s="22" t="s">
        <v>20</v>
      </c>
      <c r="M17" s="21"/>
      <c r="N17" s="297" t="s">
        <v>37</v>
      </c>
      <c r="O17" s="21"/>
    </row>
    <row r="18" spans="2:25" ht="15.5">
      <c r="B18" s="21"/>
      <c r="C18" s="21"/>
      <c r="D18" s="21"/>
      <c r="E18" s="295"/>
      <c r="F18" s="295"/>
      <c r="G18" s="295"/>
      <c r="H18" s="295"/>
      <c r="I18" s="295"/>
      <c r="J18" s="21"/>
      <c r="K18" s="21"/>
      <c r="L18" s="21"/>
      <c r="M18" s="21"/>
      <c r="N18" s="297"/>
      <c r="O18" s="21"/>
    </row>
    <row r="19" spans="2:25" ht="30" customHeight="1">
      <c r="B19" s="21"/>
      <c r="C19" s="21"/>
      <c r="D19" s="21"/>
      <c r="E19" s="295"/>
      <c r="F19" s="295"/>
      <c r="G19" s="295"/>
      <c r="H19" s="295"/>
      <c r="I19" s="295"/>
      <c r="J19" s="21"/>
      <c r="K19" s="21"/>
      <c r="L19" s="21"/>
      <c r="M19" s="21"/>
      <c r="N19" s="297"/>
      <c r="O19" s="21"/>
    </row>
    <row r="20" spans="2:25" ht="15.5">
      <c r="B20" s="21"/>
      <c r="C20" s="21"/>
      <c r="D20" s="21"/>
      <c r="E20" s="295"/>
      <c r="F20" s="295"/>
      <c r="G20" s="295"/>
      <c r="H20" s="295"/>
      <c r="I20" s="295"/>
      <c r="J20" s="21"/>
      <c r="K20" s="21"/>
      <c r="L20" s="21"/>
      <c r="M20" s="21"/>
      <c r="N20" s="297"/>
      <c r="O20" s="21"/>
    </row>
    <row r="21" spans="2:25" ht="30" customHeight="1">
      <c r="B21" s="21"/>
      <c r="C21" s="21"/>
      <c r="D21" s="21"/>
      <c r="E21" s="295"/>
      <c r="F21" s="295"/>
      <c r="G21" s="295"/>
      <c r="H21" s="295"/>
      <c r="I21" s="295"/>
      <c r="J21" s="21"/>
      <c r="K21" s="21"/>
      <c r="L21" s="21"/>
      <c r="M21" s="21"/>
      <c r="N21" s="297"/>
      <c r="O21" s="21"/>
    </row>
    <row r="22" spans="2:25" ht="15.5">
      <c r="B22" s="21"/>
      <c r="C22" s="21"/>
      <c r="D22" s="21"/>
      <c r="E22" s="21"/>
      <c r="F22" s="21"/>
      <c r="G22" s="21"/>
      <c r="H22" s="21"/>
      <c r="I22" s="21"/>
      <c r="J22" s="21"/>
      <c r="K22" s="21"/>
      <c r="L22" s="21"/>
      <c r="M22" s="21"/>
      <c r="N22" s="21"/>
      <c r="O22" s="21"/>
    </row>
    <row r="23" spans="2:25" ht="30" customHeight="1">
      <c r="B23" s="21"/>
      <c r="C23" s="22" t="s">
        <v>7</v>
      </c>
      <c r="D23" s="21"/>
      <c r="E23" s="295" t="s">
        <v>298</v>
      </c>
      <c r="F23" s="295"/>
      <c r="G23" s="295"/>
      <c r="H23" s="295"/>
      <c r="I23" s="295"/>
      <c r="J23" s="21"/>
      <c r="K23" s="21"/>
      <c r="L23" s="22" t="s">
        <v>107</v>
      </c>
      <c r="M23" s="21"/>
      <c r="N23" s="297" t="s">
        <v>299</v>
      </c>
      <c r="O23" s="21"/>
    </row>
    <row r="24" spans="2:25" ht="15" customHeight="1">
      <c r="B24" s="21"/>
      <c r="C24" s="21"/>
      <c r="D24" s="21"/>
      <c r="E24" s="295"/>
      <c r="F24" s="295"/>
      <c r="G24" s="295"/>
      <c r="H24" s="295"/>
      <c r="I24" s="295"/>
      <c r="J24" s="21"/>
      <c r="K24" s="21"/>
      <c r="L24" s="21"/>
      <c r="M24" s="21"/>
      <c r="N24" s="297"/>
      <c r="O24" s="21"/>
      <c r="Q24" s="20"/>
    </row>
    <row r="25" spans="2:25" ht="30" customHeight="1">
      <c r="B25" s="21"/>
      <c r="C25" s="21"/>
      <c r="D25" s="21"/>
      <c r="E25" s="295"/>
      <c r="F25" s="295"/>
      <c r="G25" s="295"/>
      <c r="H25" s="295"/>
      <c r="I25" s="295"/>
      <c r="J25" s="21"/>
      <c r="K25" s="21"/>
      <c r="L25" s="21"/>
      <c r="M25" s="21"/>
      <c r="N25" s="297"/>
      <c r="O25" s="21"/>
      <c r="Q25" s="20"/>
    </row>
    <row r="26" spans="2:25" ht="15" customHeight="1">
      <c r="B26" s="21"/>
      <c r="C26" s="21"/>
      <c r="D26" s="21"/>
      <c r="E26" s="295"/>
      <c r="F26" s="295"/>
      <c r="G26" s="295"/>
      <c r="H26" s="295"/>
      <c r="I26" s="295"/>
      <c r="J26" s="21"/>
      <c r="K26" s="21"/>
      <c r="L26" s="21"/>
      <c r="M26" s="21"/>
      <c r="N26" s="297"/>
      <c r="O26" s="21"/>
      <c r="Q26" s="20"/>
    </row>
    <row r="27" spans="2:25" ht="30" customHeight="1">
      <c r="B27" s="21"/>
      <c r="C27" s="21"/>
      <c r="D27" s="21"/>
      <c r="E27" s="295"/>
      <c r="F27" s="295"/>
      <c r="G27" s="295"/>
      <c r="H27" s="295"/>
      <c r="I27" s="295"/>
      <c r="J27" s="21"/>
      <c r="K27" s="21"/>
      <c r="L27" s="21"/>
      <c r="M27" s="21"/>
      <c r="N27" s="297"/>
      <c r="O27" s="21"/>
      <c r="Q27" s="20"/>
    </row>
    <row r="28" spans="2:25" ht="15.5">
      <c r="B28" s="21"/>
      <c r="C28" s="21"/>
      <c r="D28" s="21"/>
      <c r="E28" s="21"/>
      <c r="F28" s="21"/>
      <c r="G28" s="21"/>
      <c r="H28" s="21"/>
      <c r="I28" s="21"/>
      <c r="J28" s="21"/>
      <c r="K28" s="21"/>
      <c r="L28" s="21"/>
      <c r="M28" s="21"/>
      <c r="N28" s="21"/>
      <c r="O28" s="21"/>
      <c r="Q28" s="20"/>
    </row>
    <row r="29" spans="2:25" ht="30" customHeight="1">
      <c r="B29" s="21"/>
      <c r="C29" s="291" t="s">
        <v>244</v>
      </c>
      <c r="D29" s="291"/>
      <c r="E29" s="298">
        <v>10</v>
      </c>
      <c r="F29" s="298"/>
      <c r="G29" s="298"/>
      <c r="H29" s="298"/>
      <c r="I29" s="298"/>
      <c r="J29" s="21"/>
      <c r="K29" s="291" t="s">
        <v>245</v>
      </c>
      <c r="L29" s="291"/>
      <c r="M29" s="26"/>
      <c r="N29" s="27">
        <v>0.125</v>
      </c>
      <c r="O29" s="21"/>
      <c r="Q29" s="28" t="s">
        <v>25</v>
      </c>
      <c r="R29" s="237" t="s">
        <v>27</v>
      </c>
      <c r="S29" s="237"/>
      <c r="T29" s="237"/>
      <c r="U29" s="237"/>
      <c r="V29" s="237"/>
      <c r="W29" s="237"/>
      <c r="X29" s="237"/>
      <c r="Y29" s="237"/>
    </row>
    <row r="30" spans="2:25" ht="15.75" customHeight="1">
      <c r="B30" s="21"/>
      <c r="C30" s="22"/>
      <c r="D30" s="21"/>
      <c r="E30" s="21"/>
      <c r="F30" s="21"/>
      <c r="G30" s="21"/>
      <c r="H30" s="21"/>
      <c r="I30" s="21"/>
      <c r="J30" s="21"/>
      <c r="K30" s="29"/>
      <c r="L30" s="26"/>
      <c r="M30" s="26"/>
      <c r="N30" s="30"/>
      <c r="O30" s="21"/>
      <c r="Q30" s="31" t="s">
        <v>21</v>
      </c>
      <c r="R30" s="237" t="s">
        <v>28</v>
      </c>
      <c r="S30" s="237"/>
      <c r="T30" s="237"/>
      <c r="U30" s="237"/>
      <c r="V30" s="237"/>
      <c r="W30" s="237"/>
      <c r="X30" s="237"/>
      <c r="Y30" s="237"/>
    </row>
    <row r="31" spans="2:25" ht="60" customHeight="1">
      <c r="B31" s="21"/>
      <c r="C31" s="22" t="s">
        <v>39</v>
      </c>
      <c r="D31" s="21"/>
      <c r="E31" s="298" t="s">
        <v>403</v>
      </c>
      <c r="F31" s="298"/>
      <c r="G31" s="298"/>
      <c r="H31" s="298"/>
      <c r="I31" s="298"/>
      <c r="J31" s="21"/>
      <c r="K31" s="29"/>
      <c r="L31" s="26"/>
      <c r="M31" s="26"/>
      <c r="N31" s="30" t="str">
        <f>_xlfn.IFNA(VLOOKUP(E31,$Q$29:$Y$100,2,0),"Choose a phase on the left to display it’s description")</f>
        <v>Based on insights generated in the PoC development, refine all relevant dimensions. Derive as many financial measures as possible from the assumptions. Based on this assessment, decide on deployment options.</v>
      </c>
      <c r="O31" s="21"/>
      <c r="Q31" s="31" t="s">
        <v>22</v>
      </c>
      <c r="R31" s="237" t="s">
        <v>262</v>
      </c>
      <c r="S31" s="237"/>
      <c r="T31" s="237"/>
      <c r="U31" s="237"/>
      <c r="V31" s="237"/>
      <c r="W31" s="237"/>
      <c r="X31" s="237"/>
      <c r="Y31" s="237"/>
    </row>
    <row r="32" spans="2:25" ht="30" customHeight="1">
      <c r="B32" s="21"/>
      <c r="C32" s="22"/>
      <c r="D32" s="21"/>
      <c r="E32" s="32"/>
      <c r="F32" s="32"/>
      <c r="G32" s="32"/>
      <c r="H32" s="32"/>
      <c r="I32" s="32"/>
      <c r="J32" s="21"/>
      <c r="K32" s="29"/>
      <c r="L32" s="26"/>
      <c r="M32" s="26"/>
      <c r="N32" s="30"/>
      <c r="O32" s="21"/>
      <c r="Q32" s="31" t="s">
        <v>23</v>
      </c>
      <c r="R32" s="237" t="s">
        <v>29</v>
      </c>
      <c r="S32" s="237"/>
      <c r="T32" s="237"/>
      <c r="U32" s="237"/>
      <c r="V32" s="237"/>
      <c r="W32" s="237"/>
      <c r="X32" s="237"/>
      <c r="Y32" s="237"/>
    </row>
    <row r="33" spans="2:25" ht="60" customHeight="1">
      <c r="B33" s="292" t="s">
        <v>40</v>
      </c>
      <c r="C33" s="292"/>
      <c r="D33" s="292"/>
      <c r="E33" s="292"/>
      <c r="F33" s="292"/>
      <c r="G33" s="292"/>
      <c r="H33" s="292"/>
      <c r="I33" s="292"/>
      <c r="J33" s="292"/>
      <c r="K33" s="292"/>
      <c r="L33" s="292"/>
      <c r="M33" s="292"/>
      <c r="N33" s="292"/>
      <c r="O33" s="292"/>
      <c r="Q33" s="28" t="s">
        <v>403</v>
      </c>
      <c r="R33" s="237" t="s">
        <v>34</v>
      </c>
      <c r="S33" s="237"/>
      <c r="T33" s="237"/>
      <c r="U33" s="237"/>
      <c r="V33" s="237"/>
      <c r="W33" s="237"/>
      <c r="X33" s="237"/>
      <c r="Y33" s="237"/>
    </row>
    <row r="34" spans="2:25" ht="15" customHeight="1">
      <c r="B34" s="21"/>
      <c r="C34" s="21"/>
      <c r="D34" s="21"/>
      <c r="E34" s="21"/>
      <c r="F34" s="21"/>
      <c r="G34" s="21"/>
      <c r="H34" s="21"/>
      <c r="I34" s="21"/>
      <c r="J34" s="21"/>
      <c r="K34" s="21"/>
      <c r="L34" s="21"/>
      <c r="M34" s="21"/>
      <c r="N34" s="21"/>
      <c r="O34" s="21"/>
      <c r="Q34" s="33" t="s">
        <v>24</v>
      </c>
      <c r="R34" s="238" t="s">
        <v>30</v>
      </c>
      <c r="S34" s="238"/>
      <c r="T34" s="238"/>
      <c r="U34" s="238"/>
      <c r="V34" s="238"/>
      <c r="W34" s="238"/>
      <c r="X34" s="238"/>
      <c r="Y34" s="238"/>
    </row>
    <row r="35" spans="2:25" ht="15" customHeight="1">
      <c r="B35" s="291" t="s">
        <v>246</v>
      </c>
      <c r="C35" s="291"/>
      <c r="D35" s="21"/>
      <c r="E35" s="295" t="s">
        <v>264</v>
      </c>
      <c r="F35" s="295"/>
      <c r="G35" s="295"/>
      <c r="H35" s="295"/>
      <c r="I35" s="295"/>
      <c r="J35" s="21"/>
      <c r="K35" s="21"/>
      <c r="L35" s="21"/>
      <c r="M35" s="21"/>
      <c r="N35" s="21"/>
      <c r="O35" s="21"/>
      <c r="Q35" s="34" t="s">
        <v>26</v>
      </c>
      <c r="R35" s="238" t="s">
        <v>32</v>
      </c>
      <c r="S35" s="238"/>
      <c r="T35" s="238"/>
      <c r="U35" s="238"/>
      <c r="V35" s="238"/>
      <c r="W35" s="238"/>
      <c r="X35" s="238"/>
      <c r="Y35" s="238"/>
    </row>
    <row r="36" spans="2:25" ht="48.75" customHeight="1">
      <c r="B36" s="291"/>
      <c r="C36" s="291"/>
      <c r="D36" s="21"/>
      <c r="E36" s="295"/>
      <c r="F36" s="295"/>
      <c r="G36" s="295"/>
      <c r="H36" s="295"/>
      <c r="I36" s="295"/>
      <c r="J36" s="21"/>
      <c r="K36" s="21"/>
      <c r="L36" s="21"/>
      <c r="M36" s="21"/>
      <c r="N36" s="296" t="s">
        <v>303</v>
      </c>
      <c r="O36" s="21"/>
      <c r="Q36" s="31" t="s">
        <v>23</v>
      </c>
      <c r="R36" s="237" t="s">
        <v>29</v>
      </c>
      <c r="S36" s="237"/>
      <c r="T36" s="237"/>
      <c r="U36" s="237"/>
      <c r="V36" s="237"/>
      <c r="W36" s="237"/>
      <c r="X36" s="237"/>
      <c r="Y36" s="237"/>
    </row>
    <row r="37" spans="2:25" ht="15" customHeight="1">
      <c r="B37" s="21"/>
      <c r="C37" s="21"/>
      <c r="D37" s="21"/>
      <c r="E37" s="295"/>
      <c r="F37" s="295"/>
      <c r="G37" s="295"/>
      <c r="H37" s="295"/>
      <c r="I37" s="295"/>
      <c r="J37" s="21"/>
      <c r="K37" s="21"/>
      <c r="L37" s="21"/>
      <c r="M37" s="21"/>
      <c r="N37" s="296"/>
      <c r="O37" s="21"/>
      <c r="Q37" s="31"/>
      <c r="R37" s="237"/>
      <c r="S37" s="237"/>
      <c r="T37" s="237"/>
      <c r="U37" s="237"/>
      <c r="V37" s="237"/>
      <c r="W37" s="237"/>
      <c r="X37" s="237"/>
      <c r="Y37" s="237"/>
    </row>
    <row r="38" spans="2:25" ht="48.75" customHeight="1">
      <c r="B38" s="21"/>
      <c r="C38" s="21"/>
      <c r="D38" s="21"/>
      <c r="E38" s="295"/>
      <c r="F38" s="295"/>
      <c r="G38" s="295"/>
      <c r="H38" s="295"/>
      <c r="I38" s="295"/>
      <c r="J38" s="21"/>
      <c r="K38" s="21"/>
      <c r="L38" s="21"/>
      <c r="M38" s="21"/>
      <c r="N38" s="296"/>
      <c r="O38" s="21"/>
      <c r="Q38" s="31"/>
      <c r="R38" s="237"/>
      <c r="S38" s="237"/>
      <c r="T38" s="237"/>
      <c r="U38" s="237"/>
      <c r="V38" s="237"/>
      <c r="W38" s="237"/>
      <c r="X38" s="237"/>
      <c r="Y38" s="237"/>
    </row>
    <row r="39" spans="2:25" ht="15" customHeight="1">
      <c r="B39" s="21"/>
      <c r="C39" s="21"/>
      <c r="D39" s="21"/>
      <c r="E39" s="295"/>
      <c r="F39" s="295"/>
      <c r="G39" s="295"/>
      <c r="H39" s="295"/>
      <c r="I39" s="295"/>
      <c r="J39" s="21"/>
      <c r="K39" s="21"/>
      <c r="L39" s="21"/>
      <c r="M39" s="21"/>
      <c r="N39" s="21"/>
      <c r="O39" s="21"/>
      <c r="Q39" s="31"/>
      <c r="R39" s="237"/>
      <c r="S39" s="237"/>
      <c r="T39" s="237"/>
      <c r="U39" s="237"/>
      <c r="V39" s="237"/>
      <c r="W39" s="237"/>
      <c r="X39" s="237"/>
      <c r="Y39" s="237"/>
    </row>
    <row r="40" spans="2:25" ht="15" customHeight="1">
      <c r="B40" s="21"/>
      <c r="C40" s="21"/>
      <c r="D40" s="21"/>
      <c r="E40" s="21"/>
      <c r="F40" s="21"/>
      <c r="G40" s="21"/>
      <c r="H40" s="21"/>
      <c r="I40" s="21"/>
      <c r="J40" s="21"/>
      <c r="K40" s="21"/>
      <c r="L40" s="21"/>
      <c r="M40" s="21"/>
      <c r="N40" s="21"/>
      <c r="O40" s="21"/>
      <c r="Q40" s="31"/>
      <c r="R40" s="237"/>
      <c r="S40" s="237"/>
      <c r="T40" s="237"/>
      <c r="U40" s="237"/>
      <c r="V40" s="237"/>
      <c r="W40" s="237"/>
      <c r="X40" s="237"/>
      <c r="Y40" s="237"/>
    </row>
    <row r="41" spans="2:25" ht="15" customHeight="1">
      <c r="B41" s="291" t="s">
        <v>247</v>
      </c>
      <c r="C41" s="291"/>
      <c r="D41" s="21"/>
      <c r="E41" s="295" t="s">
        <v>300</v>
      </c>
      <c r="F41" s="295"/>
      <c r="G41" s="295"/>
      <c r="H41" s="295"/>
      <c r="I41" s="295"/>
      <c r="J41" s="21"/>
      <c r="K41" s="21"/>
      <c r="L41" s="21"/>
      <c r="M41" s="21"/>
      <c r="N41" s="21"/>
      <c r="O41" s="21"/>
      <c r="Q41" s="31"/>
      <c r="R41" s="237"/>
      <c r="S41" s="237"/>
      <c r="T41" s="237"/>
      <c r="U41" s="237"/>
      <c r="V41" s="237"/>
      <c r="W41" s="237"/>
      <c r="X41" s="237"/>
      <c r="Y41" s="237"/>
    </row>
    <row r="42" spans="2:25" ht="48.75" customHeight="1">
      <c r="B42" s="291"/>
      <c r="C42" s="291"/>
      <c r="D42" s="21"/>
      <c r="E42" s="295"/>
      <c r="F42" s="295"/>
      <c r="G42" s="295"/>
      <c r="H42" s="295"/>
      <c r="I42" s="295"/>
      <c r="J42" s="21"/>
      <c r="K42" s="21"/>
      <c r="L42" s="21"/>
      <c r="M42" s="21"/>
      <c r="N42" s="296" t="s">
        <v>302</v>
      </c>
      <c r="O42" s="21"/>
      <c r="Q42" s="31"/>
      <c r="R42" s="237"/>
      <c r="S42" s="237"/>
      <c r="T42" s="237"/>
      <c r="U42" s="237"/>
      <c r="V42" s="237"/>
      <c r="W42" s="237"/>
      <c r="X42" s="237"/>
      <c r="Y42" s="237"/>
    </row>
    <row r="43" spans="2:25" ht="15" customHeight="1">
      <c r="B43" s="21"/>
      <c r="C43" s="21"/>
      <c r="D43" s="21"/>
      <c r="E43" s="295"/>
      <c r="F43" s="295"/>
      <c r="G43" s="295"/>
      <c r="H43" s="295"/>
      <c r="I43" s="295"/>
      <c r="J43" s="21"/>
      <c r="K43" s="21"/>
      <c r="L43" s="21"/>
      <c r="M43" s="21"/>
      <c r="N43" s="296"/>
      <c r="O43" s="21"/>
      <c r="Q43" s="31"/>
      <c r="R43" s="237"/>
      <c r="S43" s="237"/>
      <c r="T43" s="237"/>
      <c r="U43" s="237"/>
      <c r="V43" s="237"/>
      <c r="W43" s="237"/>
      <c r="X43" s="237"/>
      <c r="Y43" s="237"/>
    </row>
    <row r="44" spans="2:25" ht="48.75" customHeight="1">
      <c r="B44" s="21"/>
      <c r="C44" s="21"/>
      <c r="D44" s="21"/>
      <c r="E44" s="295"/>
      <c r="F44" s="295"/>
      <c r="G44" s="295"/>
      <c r="H44" s="295"/>
      <c r="I44" s="295"/>
      <c r="J44" s="21"/>
      <c r="K44" s="21"/>
      <c r="L44" s="21"/>
      <c r="M44" s="21"/>
      <c r="N44" s="296"/>
      <c r="O44" s="21"/>
      <c r="Q44" s="31"/>
      <c r="R44" s="237"/>
      <c r="S44" s="237"/>
      <c r="T44" s="237"/>
      <c r="U44" s="237"/>
      <c r="V44" s="237"/>
      <c r="W44" s="237"/>
      <c r="X44" s="237"/>
      <c r="Y44" s="237"/>
    </row>
    <row r="45" spans="2:25" ht="15" customHeight="1">
      <c r="B45" s="21"/>
      <c r="C45" s="21"/>
      <c r="D45" s="21"/>
      <c r="E45" s="295"/>
      <c r="F45" s="295"/>
      <c r="G45" s="295"/>
      <c r="H45" s="295"/>
      <c r="I45" s="295"/>
      <c r="J45" s="21"/>
      <c r="K45" s="21"/>
      <c r="L45" s="21"/>
      <c r="M45" s="21"/>
      <c r="N45" s="21"/>
      <c r="O45" s="21"/>
      <c r="Q45" s="31"/>
      <c r="R45" s="237"/>
      <c r="S45" s="237"/>
      <c r="T45" s="237"/>
      <c r="U45" s="237"/>
      <c r="V45" s="237"/>
      <c r="W45" s="237"/>
      <c r="X45" s="237"/>
      <c r="Y45" s="237"/>
    </row>
    <row r="46" spans="2:25" ht="15" customHeight="1">
      <c r="B46" s="21"/>
      <c r="C46" s="21"/>
      <c r="D46" s="21"/>
      <c r="E46" s="21"/>
      <c r="F46" s="21"/>
      <c r="G46" s="21"/>
      <c r="H46" s="21"/>
      <c r="I46" s="21"/>
      <c r="J46" s="21"/>
      <c r="K46" s="21"/>
      <c r="L46" s="21"/>
      <c r="M46" s="21"/>
      <c r="N46" s="21"/>
      <c r="O46" s="21"/>
      <c r="Q46" s="31"/>
      <c r="R46" s="237"/>
      <c r="S46" s="237"/>
      <c r="T46" s="237"/>
      <c r="U46" s="237"/>
      <c r="V46" s="237"/>
      <c r="W46" s="237"/>
      <c r="X46" s="237"/>
      <c r="Y46" s="237"/>
    </row>
    <row r="47" spans="2:25" ht="15" customHeight="1">
      <c r="B47" s="291" t="s">
        <v>248</v>
      </c>
      <c r="C47" s="291"/>
      <c r="D47" s="21"/>
      <c r="E47" s="295"/>
      <c r="F47" s="295"/>
      <c r="G47" s="295"/>
      <c r="H47" s="295"/>
      <c r="I47" s="295"/>
      <c r="J47" s="21"/>
      <c r="K47" s="21"/>
      <c r="L47" s="21"/>
      <c r="M47" s="21"/>
      <c r="N47" s="21"/>
      <c r="O47" s="21"/>
      <c r="Q47" s="243"/>
      <c r="R47" s="237"/>
      <c r="S47" s="237"/>
      <c r="T47" s="237"/>
      <c r="U47" s="237"/>
      <c r="V47" s="237"/>
      <c r="W47" s="237"/>
      <c r="X47" s="237"/>
      <c r="Y47" s="237"/>
    </row>
    <row r="48" spans="2:25" ht="48.75" customHeight="1">
      <c r="B48" s="291"/>
      <c r="C48" s="291"/>
      <c r="D48" s="21"/>
      <c r="E48" s="295"/>
      <c r="F48" s="295"/>
      <c r="G48" s="295"/>
      <c r="H48" s="295"/>
      <c r="I48" s="295"/>
      <c r="J48" s="21"/>
      <c r="K48" s="21"/>
      <c r="L48" s="21"/>
      <c r="M48" s="21"/>
      <c r="N48" s="296" t="s">
        <v>301</v>
      </c>
      <c r="O48" s="21"/>
      <c r="Q48" s="243"/>
      <c r="R48" s="237"/>
      <c r="S48" s="237"/>
      <c r="T48" s="237"/>
      <c r="U48" s="237"/>
      <c r="V48" s="237"/>
      <c r="W48" s="237"/>
      <c r="X48" s="237"/>
      <c r="Y48" s="237"/>
    </row>
    <row r="49" spans="1:25" ht="15" customHeight="1">
      <c r="B49" s="21"/>
      <c r="C49" s="36"/>
      <c r="D49" s="21"/>
      <c r="E49" s="295"/>
      <c r="F49" s="295"/>
      <c r="G49" s="295"/>
      <c r="H49" s="295"/>
      <c r="I49" s="295"/>
      <c r="J49" s="21"/>
      <c r="K49" s="21"/>
      <c r="L49" s="21"/>
      <c r="M49" s="21"/>
      <c r="N49" s="296"/>
      <c r="O49" s="21"/>
      <c r="Q49" s="243"/>
      <c r="R49" s="237"/>
      <c r="S49" s="237"/>
      <c r="T49" s="237"/>
      <c r="U49" s="237"/>
      <c r="V49" s="237"/>
      <c r="W49" s="237"/>
      <c r="X49" s="237"/>
      <c r="Y49" s="237"/>
    </row>
    <row r="50" spans="1:25" ht="75" customHeight="1">
      <c r="B50" s="21"/>
      <c r="C50" s="21"/>
      <c r="D50" s="21"/>
      <c r="E50" s="295"/>
      <c r="F50" s="295"/>
      <c r="G50" s="295"/>
      <c r="H50" s="295"/>
      <c r="I50" s="295"/>
      <c r="J50" s="21"/>
      <c r="K50" s="21"/>
      <c r="L50" s="21"/>
      <c r="M50" s="21"/>
      <c r="N50" s="296"/>
      <c r="O50" s="21"/>
      <c r="Q50" s="243"/>
      <c r="R50" s="237"/>
      <c r="S50" s="237"/>
      <c r="T50" s="237"/>
      <c r="U50" s="237"/>
      <c r="V50" s="237"/>
      <c r="W50" s="237"/>
      <c r="X50" s="237"/>
      <c r="Y50" s="237"/>
    </row>
    <row r="51" spans="1:25" ht="15" customHeight="1">
      <c r="B51" s="21"/>
      <c r="C51" s="21"/>
      <c r="D51" s="21"/>
      <c r="E51" s="295"/>
      <c r="F51" s="295"/>
      <c r="G51" s="295"/>
      <c r="H51" s="295"/>
      <c r="I51" s="295"/>
      <c r="J51" s="21"/>
      <c r="K51" s="21"/>
      <c r="L51" s="21"/>
      <c r="M51" s="21"/>
      <c r="N51" s="21"/>
      <c r="O51" s="21"/>
      <c r="Q51" s="243"/>
      <c r="R51" s="237"/>
      <c r="S51" s="237"/>
      <c r="T51" s="237"/>
      <c r="U51" s="237"/>
      <c r="V51" s="237"/>
      <c r="W51" s="237"/>
      <c r="X51" s="237"/>
      <c r="Y51" s="237"/>
    </row>
    <row r="52" spans="1:25" ht="30" customHeight="1">
      <c r="B52" s="21"/>
      <c r="C52" s="21"/>
      <c r="D52" s="21"/>
      <c r="E52" s="21"/>
      <c r="F52" s="21"/>
      <c r="G52" s="21"/>
      <c r="H52" s="21"/>
      <c r="I52" s="21"/>
      <c r="J52" s="21"/>
      <c r="K52" s="21"/>
      <c r="L52" s="21"/>
      <c r="M52" s="21"/>
      <c r="N52" s="21"/>
      <c r="O52" s="21"/>
      <c r="Q52" s="243"/>
      <c r="R52" s="237"/>
      <c r="S52" s="237"/>
      <c r="T52" s="237"/>
      <c r="U52" s="237"/>
      <c r="V52" s="237"/>
      <c r="W52" s="237"/>
      <c r="X52" s="237"/>
      <c r="Y52" s="237"/>
    </row>
    <row r="53" spans="1:25" ht="60" customHeight="1">
      <c r="B53" s="293" t="s">
        <v>41</v>
      </c>
      <c r="C53" s="293"/>
      <c r="D53" s="293"/>
      <c r="E53" s="293"/>
      <c r="F53" s="293"/>
      <c r="G53" s="293"/>
      <c r="H53" s="293"/>
      <c r="I53" s="293"/>
      <c r="J53" s="293"/>
      <c r="K53" s="293"/>
      <c r="L53" s="293"/>
      <c r="M53" s="293"/>
      <c r="N53" s="293"/>
      <c r="O53" s="293"/>
      <c r="Q53" s="243"/>
      <c r="R53" s="237"/>
      <c r="S53" s="237"/>
      <c r="T53" s="237"/>
      <c r="U53" s="237"/>
      <c r="V53" s="237"/>
      <c r="W53" s="237"/>
      <c r="X53" s="237"/>
      <c r="Y53" s="237"/>
    </row>
    <row r="54" spans="1:25" ht="38.5">
      <c r="A54" s="93" t="s">
        <v>284</v>
      </c>
      <c r="B54" s="25"/>
      <c r="C54" s="25"/>
      <c r="D54" s="25"/>
      <c r="E54" s="104" t="s">
        <v>291</v>
      </c>
      <c r="F54" s="78"/>
      <c r="G54" s="112" t="s">
        <v>292</v>
      </c>
      <c r="H54" s="78"/>
      <c r="I54" s="112" t="s">
        <v>293</v>
      </c>
      <c r="J54" s="25"/>
      <c r="K54" s="112" t="s">
        <v>304</v>
      </c>
      <c r="L54" s="25"/>
      <c r="M54" s="25"/>
      <c r="N54" s="25"/>
      <c r="O54" s="25"/>
      <c r="Q54" s="243"/>
      <c r="R54" s="237"/>
      <c r="S54" s="237"/>
      <c r="T54" s="237"/>
      <c r="U54" s="237"/>
      <c r="V54" s="237"/>
      <c r="W54" s="237"/>
      <c r="X54" s="237"/>
      <c r="Y54" s="237"/>
    </row>
    <row r="55" spans="1:25" ht="30" customHeight="1">
      <c r="A55" s="20" t="s">
        <v>285</v>
      </c>
      <c r="B55" s="281" t="s">
        <v>249</v>
      </c>
      <c r="C55" s="281"/>
      <c r="D55" s="25"/>
      <c r="E55" s="206">
        <v>70000</v>
      </c>
      <c r="F55" s="214"/>
      <c r="G55" s="212">
        <v>0.2</v>
      </c>
      <c r="H55" s="214"/>
      <c r="I55" s="206">
        <f>(1+G55)*E55</f>
        <v>84000</v>
      </c>
      <c r="J55" s="25"/>
      <c r="K55" s="206">
        <v>210</v>
      </c>
      <c r="L55" s="25"/>
      <c r="M55" s="25"/>
      <c r="N55" s="121"/>
      <c r="O55" s="25"/>
      <c r="Q55" s="243"/>
      <c r="R55" s="237"/>
      <c r="S55" s="237"/>
      <c r="T55" s="237"/>
      <c r="U55" s="237"/>
      <c r="V55" s="237"/>
      <c r="W55" s="237"/>
      <c r="X55" s="237"/>
      <c r="Y55" s="237"/>
    </row>
    <row r="56" spans="1:25" ht="15" customHeight="1">
      <c r="A56" s="20"/>
      <c r="B56" s="25"/>
      <c r="C56" s="25"/>
      <c r="D56" s="25"/>
      <c r="E56" s="215"/>
      <c r="F56" s="215"/>
      <c r="G56" s="216"/>
      <c r="H56" s="215"/>
      <c r="I56" s="215"/>
      <c r="J56" s="25"/>
      <c r="K56" s="25"/>
      <c r="L56" s="25"/>
      <c r="M56" s="25"/>
      <c r="N56" s="25"/>
      <c r="O56" s="25"/>
      <c r="Q56" s="243"/>
      <c r="R56" s="237"/>
      <c r="S56" s="237"/>
      <c r="T56" s="237"/>
      <c r="U56" s="237"/>
      <c r="V56" s="237"/>
      <c r="W56" s="237"/>
      <c r="X56" s="237"/>
      <c r="Y56" s="237"/>
    </row>
    <row r="57" spans="1:25" ht="30" customHeight="1">
      <c r="A57" s="20" t="s">
        <v>289</v>
      </c>
      <c r="B57" s="281" t="s">
        <v>250</v>
      </c>
      <c r="C57" s="281"/>
      <c r="D57" s="25"/>
      <c r="E57" s="206">
        <v>65000</v>
      </c>
      <c r="F57" s="214"/>
      <c r="G57" s="212">
        <v>0.2</v>
      </c>
      <c r="H57" s="214"/>
      <c r="I57" s="206">
        <f>(1+G57)*E57</f>
        <v>78000</v>
      </c>
      <c r="J57" s="25"/>
      <c r="K57" s="206">
        <v>210</v>
      </c>
      <c r="L57" s="25"/>
      <c r="M57" s="25"/>
      <c r="N57" s="121"/>
      <c r="O57" s="25"/>
      <c r="Q57" s="243"/>
      <c r="R57" s="237"/>
      <c r="S57" s="237"/>
      <c r="T57" s="237"/>
      <c r="U57" s="237"/>
      <c r="V57" s="237"/>
      <c r="W57" s="237"/>
      <c r="X57" s="237"/>
      <c r="Y57" s="237"/>
    </row>
    <row r="58" spans="1:25" ht="15" customHeight="1">
      <c r="A58" s="20"/>
      <c r="B58" s="25"/>
      <c r="C58" s="25"/>
      <c r="D58" s="25"/>
      <c r="E58" s="215"/>
      <c r="F58" s="215"/>
      <c r="G58" s="216"/>
      <c r="H58" s="215"/>
      <c r="I58" s="215"/>
      <c r="J58" s="25"/>
      <c r="K58" s="25"/>
      <c r="L58" s="25"/>
      <c r="M58" s="25"/>
      <c r="N58" s="25"/>
      <c r="O58" s="25"/>
      <c r="Q58" s="243"/>
      <c r="R58" s="237"/>
      <c r="S58" s="237"/>
      <c r="T58" s="237"/>
      <c r="U58" s="237"/>
      <c r="V58" s="237"/>
      <c r="W58" s="237"/>
      <c r="X58" s="237"/>
      <c r="Y58" s="237"/>
    </row>
    <row r="59" spans="1:25" ht="30" customHeight="1">
      <c r="A59" s="20" t="s">
        <v>290</v>
      </c>
      <c r="B59" s="281" t="s">
        <v>251</v>
      </c>
      <c r="C59" s="281"/>
      <c r="D59" s="25"/>
      <c r="E59" s="206">
        <v>60000</v>
      </c>
      <c r="F59" s="214"/>
      <c r="G59" s="212">
        <v>0.2</v>
      </c>
      <c r="H59" s="214"/>
      <c r="I59" s="206">
        <f>(1+G59)*E59</f>
        <v>72000</v>
      </c>
      <c r="J59" s="25"/>
      <c r="K59" s="206">
        <v>210</v>
      </c>
      <c r="L59" s="25"/>
      <c r="M59" s="25"/>
      <c r="N59" s="121"/>
      <c r="O59" s="25"/>
      <c r="Q59" s="243"/>
      <c r="R59" s="237"/>
      <c r="S59" s="237"/>
      <c r="T59" s="237"/>
      <c r="U59" s="237"/>
      <c r="V59" s="237"/>
      <c r="W59" s="237"/>
      <c r="X59" s="237"/>
      <c r="Y59" s="237"/>
    </row>
    <row r="60" spans="1:25" ht="15" customHeight="1">
      <c r="A60" s="20"/>
      <c r="B60" s="25"/>
      <c r="C60" s="25"/>
      <c r="D60" s="25"/>
      <c r="E60" s="215"/>
      <c r="F60" s="215"/>
      <c r="G60" s="216"/>
      <c r="H60" s="215"/>
      <c r="I60" s="215"/>
      <c r="J60" s="25"/>
      <c r="K60" s="25"/>
      <c r="L60" s="25"/>
      <c r="M60" s="25"/>
      <c r="N60" s="25"/>
      <c r="O60" s="25"/>
      <c r="Q60" s="243"/>
      <c r="R60" s="237"/>
      <c r="S60" s="237"/>
      <c r="T60" s="237"/>
      <c r="U60" s="237"/>
      <c r="V60" s="237"/>
      <c r="W60" s="237"/>
      <c r="X60" s="237"/>
      <c r="Y60" s="237"/>
    </row>
    <row r="61" spans="1:25" ht="30" customHeight="1">
      <c r="A61" s="20" t="s">
        <v>295</v>
      </c>
      <c r="B61" s="281" t="s">
        <v>294</v>
      </c>
      <c r="C61" s="281"/>
      <c r="D61" s="25"/>
      <c r="E61" s="206">
        <v>80000</v>
      </c>
      <c r="F61" s="214"/>
      <c r="G61" s="212">
        <v>0.2</v>
      </c>
      <c r="H61" s="214"/>
      <c r="I61" s="206">
        <f>(1+G61)*E61</f>
        <v>96000</v>
      </c>
      <c r="J61" s="25"/>
      <c r="K61" s="206">
        <v>210</v>
      </c>
      <c r="L61" s="25"/>
      <c r="M61" s="25"/>
      <c r="N61" s="121"/>
      <c r="O61" s="25"/>
      <c r="Q61" s="243"/>
      <c r="R61" s="237"/>
      <c r="S61" s="237"/>
      <c r="T61" s="237"/>
      <c r="U61" s="237"/>
      <c r="V61" s="237"/>
      <c r="W61" s="237"/>
      <c r="X61" s="237"/>
      <c r="Y61" s="237"/>
    </row>
    <row r="62" spans="1:25" ht="15" customHeight="1">
      <c r="B62" s="21"/>
      <c r="C62" s="21"/>
      <c r="D62" s="21"/>
      <c r="E62" s="21"/>
      <c r="F62" s="21"/>
      <c r="G62" s="21"/>
      <c r="H62" s="21"/>
      <c r="I62" s="21"/>
      <c r="J62" s="21"/>
      <c r="K62" s="21"/>
      <c r="L62" s="21"/>
      <c r="M62" s="21"/>
      <c r="N62" s="21"/>
      <c r="O62" s="21"/>
      <c r="Q62" s="243"/>
      <c r="R62" s="237"/>
      <c r="S62" s="237"/>
      <c r="T62" s="237"/>
      <c r="U62" s="237"/>
      <c r="V62" s="237"/>
      <c r="W62" s="237"/>
      <c r="X62" s="237"/>
      <c r="Y62" s="237"/>
    </row>
    <row r="63" spans="1:25" ht="30" customHeight="1">
      <c r="B63" s="21"/>
      <c r="C63" s="21"/>
      <c r="D63" s="21"/>
      <c r="E63" s="21"/>
      <c r="F63" s="21"/>
      <c r="G63" s="21"/>
      <c r="H63" s="21"/>
      <c r="I63" s="21"/>
      <c r="J63" s="21"/>
      <c r="K63" s="21"/>
      <c r="L63" s="21"/>
      <c r="M63" s="21"/>
      <c r="N63" s="21"/>
      <c r="O63" s="21"/>
      <c r="Q63" s="243"/>
      <c r="R63" s="237"/>
      <c r="S63" s="237"/>
      <c r="T63" s="237"/>
      <c r="U63" s="237"/>
      <c r="V63" s="237"/>
      <c r="W63" s="237"/>
      <c r="X63" s="237"/>
      <c r="Y63" s="237"/>
    </row>
    <row r="64" spans="1:25" ht="60" customHeight="1">
      <c r="B64" s="292" t="s">
        <v>114</v>
      </c>
      <c r="C64" s="292"/>
      <c r="D64" s="292"/>
      <c r="E64" s="292"/>
      <c r="F64" s="292"/>
      <c r="G64" s="292"/>
      <c r="H64" s="292"/>
      <c r="I64" s="292"/>
      <c r="J64" s="292"/>
      <c r="K64" s="292"/>
      <c r="L64" s="292"/>
      <c r="M64" s="292"/>
      <c r="N64" s="292"/>
      <c r="O64" s="292"/>
      <c r="Q64" s="243"/>
      <c r="R64" s="237"/>
      <c r="S64" s="237"/>
      <c r="T64" s="237"/>
      <c r="U64" s="237"/>
      <c r="V64" s="237"/>
      <c r="W64" s="237"/>
      <c r="X64" s="237"/>
      <c r="Y64" s="237"/>
    </row>
    <row r="65" spans="2:25" ht="15" customHeight="1">
      <c r="B65" s="21"/>
      <c r="C65" s="21"/>
      <c r="D65" s="21"/>
      <c r="E65" s="21"/>
      <c r="F65" s="21"/>
      <c r="G65" s="21"/>
      <c r="H65" s="21"/>
      <c r="I65" s="21"/>
      <c r="J65" s="21"/>
      <c r="K65" s="21"/>
      <c r="L65" s="21"/>
      <c r="M65" s="21"/>
      <c r="N65" s="21"/>
      <c r="O65" s="21"/>
      <c r="Q65" s="243"/>
      <c r="R65" s="237"/>
      <c r="S65" s="237"/>
      <c r="T65" s="237"/>
      <c r="U65" s="237"/>
      <c r="V65" s="237"/>
      <c r="W65" s="237"/>
      <c r="X65" s="237"/>
      <c r="Y65" s="237"/>
    </row>
    <row r="66" spans="2:25" ht="33" customHeight="1">
      <c r="B66" s="282" t="s">
        <v>161</v>
      </c>
      <c r="C66" s="282"/>
      <c r="D66" s="282"/>
      <c r="E66" s="282"/>
      <c r="F66" s="282"/>
      <c r="G66" s="282"/>
      <c r="H66" s="282"/>
      <c r="I66" s="282"/>
      <c r="J66" s="282"/>
      <c r="K66" s="282"/>
      <c r="L66" s="282"/>
      <c r="M66" s="282"/>
      <c r="N66" s="282"/>
      <c r="O66" s="282"/>
      <c r="Q66" s="243"/>
      <c r="R66" s="237"/>
      <c r="S66" s="237"/>
      <c r="T66" s="237"/>
      <c r="U66" s="237"/>
      <c r="V66" s="237"/>
      <c r="W66" s="237"/>
      <c r="X66" s="237"/>
      <c r="Y66" s="237"/>
    </row>
    <row r="67" spans="2:25" ht="133.5" customHeight="1">
      <c r="B67" s="283" t="s">
        <v>164</v>
      </c>
      <c r="C67" s="283"/>
      <c r="D67" s="21"/>
      <c r="E67" s="288" t="s">
        <v>305</v>
      </c>
      <c r="F67" s="288"/>
      <c r="G67" s="288"/>
      <c r="H67" s="288"/>
      <c r="I67" s="288"/>
      <c r="J67" s="283" t="s">
        <v>165</v>
      </c>
      <c r="K67" s="283"/>
      <c r="L67" s="283"/>
      <c r="M67" s="29"/>
      <c r="N67" s="37" t="s">
        <v>265</v>
      </c>
      <c r="O67" s="21"/>
      <c r="Q67" s="243"/>
      <c r="R67" s="237"/>
      <c r="S67" s="237"/>
      <c r="T67" s="237"/>
      <c r="U67" s="237"/>
      <c r="V67" s="237"/>
      <c r="W67" s="237"/>
      <c r="X67" s="237"/>
      <c r="Y67" s="237"/>
    </row>
    <row r="68" spans="2:25" ht="15.75" customHeight="1">
      <c r="B68" s="285"/>
      <c r="C68" s="285"/>
      <c r="D68" s="21"/>
      <c r="E68" s="37"/>
      <c r="F68" s="37"/>
      <c r="G68" s="37"/>
      <c r="H68" s="37"/>
      <c r="I68" s="37"/>
      <c r="J68" s="283"/>
      <c r="K68" s="283"/>
      <c r="L68" s="283"/>
      <c r="M68" s="29"/>
      <c r="N68" s="37"/>
      <c r="O68" s="21"/>
      <c r="Q68" s="243"/>
      <c r="R68" s="237"/>
      <c r="S68" s="237"/>
      <c r="T68" s="237"/>
      <c r="U68" s="237"/>
      <c r="V68" s="237"/>
      <c r="W68" s="237"/>
      <c r="X68" s="237"/>
      <c r="Y68" s="237"/>
    </row>
    <row r="69" spans="2:25" ht="33" customHeight="1">
      <c r="B69" s="282" t="s">
        <v>162</v>
      </c>
      <c r="C69" s="282"/>
      <c r="D69" s="282"/>
      <c r="E69" s="282"/>
      <c r="F69" s="282"/>
      <c r="G69" s="282"/>
      <c r="H69" s="282"/>
      <c r="I69" s="282"/>
      <c r="J69" s="282"/>
      <c r="K69" s="282"/>
      <c r="L69" s="282"/>
      <c r="M69" s="282"/>
      <c r="N69" s="282"/>
      <c r="O69" s="282"/>
      <c r="Q69" s="243"/>
      <c r="R69" s="237"/>
      <c r="S69" s="237"/>
      <c r="T69" s="237"/>
      <c r="U69" s="237"/>
      <c r="V69" s="237"/>
      <c r="W69" s="237"/>
      <c r="X69" s="237"/>
      <c r="Y69" s="237"/>
    </row>
    <row r="70" spans="2:25" ht="140.25" customHeight="1">
      <c r="B70" s="283" t="s">
        <v>163</v>
      </c>
      <c r="C70" s="283"/>
      <c r="D70" s="38"/>
      <c r="E70" s="288" t="s">
        <v>306</v>
      </c>
      <c r="F70" s="288"/>
      <c r="G70" s="288"/>
      <c r="H70" s="288"/>
      <c r="I70" s="288"/>
      <c r="J70" s="284" t="s">
        <v>166</v>
      </c>
      <c r="K70" s="284"/>
      <c r="L70" s="284"/>
      <c r="M70" s="21"/>
      <c r="N70" s="37" t="s">
        <v>308</v>
      </c>
      <c r="O70" s="21"/>
      <c r="Q70" s="243"/>
      <c r="R70" s="237"/>
      <c r="S70" s="237"/>
      <c r="T70" s="237"/>
      <c r="U70" s="237"/>
      <c r="V70" s="237"/>
      <c r="W70" s="237"/>
      <c r="X70" s="237"/>
      <c r="Y70" s="237"/>
    </row>
    <row r="71" spans="2:25" ht="15.75" customHeight="1">
      <c r="B71" s="285"/>
      <c r="C71" s="285"/>
      <c r="D71" s="39"/>
      <c r="E71" s="37"/>
      <c r="F71" s="37"/>
      <c r="G71" s="37"/>
      <c r="H71" s="37"/>
      <c r="I71" s="37"/>
      <c r="J71" s="283"/>
      <c r="K71" s="283"/>
      <c r="L71" s="283"/>
      <c r="M71" s="21"/>
      <c r="N71" s="37"/>
      <c r="O71" s="21"/>
      <c r="Q71" s="243"/>
      <c r="R71" s="237"/>
      <c r="S71" s="237"/>
      <c r="T71" s="237"/>
      <c r="U71" s="237"/>
      <c r="V71" s="237"/>
      <c r="W71" s="237"/>
      <c r="X71" s="237"/>
      <c r="Y71" s="237"/>
    </row>
    <row r="72" spans="2:25" ht="210" customHeight="1">
      <c r="B72" s="283" t="s">
        <v>296</v>
      </c>
      <c r="C72" s="283"/>
      <c r="D72" s="40"/>
      <c r="E72" s="288" t="s">
        <v>307</v>
      </c>
      <c r="F72" s="288"/>
      <c r="G72" s="288"/>
      <c r="H72" s="288"/>
      <c r="I72" s="288"/>
      <c r="J72" s="283" t="s">
        <v>167</v>
      </c>
      <c r="K72" s="283"/>
      <c r="L72" s="283"/>
      <c r="M72" s="21"/>
      <c r="N72" s="37" t="s">
        <v>266</v>
      </c>
      <c r="O72" s="21"/>
      <c r="Q72" s="243"/>
      <c r="R72" s="237"/>
      <c r="S72" s="237"/>
      <c r="T72" s="237"/>
      <c r="U72" s="237"/>
      <c r="V72" s="237"/>
      <c r="W72" s="237"/>
      <c r="X72" s="237"/>
      <c r="Y72" s="237"/>
    </row>
    <row r="73" spans="2:25" ht="15.75" customHeight="1">
      <c r="B73" s="38"/>
      <c r="C73" s="38"/>
      <c r="D73" s="40"/>
      <c r="E73" s="41"/>
      <c r="F73" s="41"/>
      <c r="G73" s="41"/>
      <c r="H73" s="41"/>
      <c r="I73" s="41"/>
      <c r="J73" s="38"/>
      <c r="K73" s="38"/>
      <c r="L73" s="38"/>
      <c r="M73" s="21"/>
      <c r="N73" s="37"/>
      <c r="O73" s="21"/>
      <c r="Q73" s="243"/>
      <c r="R73" s="237"/>
      <c r="S73" s="237"/>
      <c r="T73" s="237"/>
      <c r="U73" s="237"/>
      <c r="V73" s="237"/>
      <c r="W73" s="237"/>
      <c r="X73" s="237"/>
      <c r="Y73" s="237"/>
    </row>
    <row r="74" spans="2:25" ht="152.25" customHeight="1">
      <c r="B74" s="289" t="s">
        <v>383</v>
      </c>
      <c r="C74" s="289"/>
      <c r="D74" s="38"/>
      <c r="E74" s="288" t="s">
        <v>267</v>
      </c>
      <c r="F74" s="288"/>
      <c r="G74" s="288"/>
      <c r="H74" s="288"/>
      <c r="I74" s="288"/>
      <c r="J74" s="283"/>
      <c r="K74" s="283"/>
      <c r="L74" s="283"/>
      <c r="M74" s="21"/>
      <c r="N74" s="37"/>
      <c r="O74" s="21"/>
      <c r="Q74" s="243"/>
      <c r="R74" s="237"/>
      <c r="S74" s="237"/>
      <c r="T74" s="237"/>
      <c r="U74" s="237"/>
      <c r="V74" s="237"/>
      <c r="W74" s="237"/>
      <c r="X74" s="237"/>
      <c r="Y74" s="237"/>
    </row>
    <row r="75" spans="2:25" ht="15.5">
      <c r="B75" s="42"/>
      <c r="C75" s="42"/>
      <c r="D75" s="38"/>
      <c r="E75" s="41"/>
      <c r="F75" s="41"/>
      <c r="G75" s="41"/>
      <c r="H75" s="41"/>
      <c r="I75" s="41"/>
      <c r="J75" s="290"/>
      <c r="K75" s="291"/>
      <c r="L75" s="291"/>
      <c r="M75" s="21"/>
      <c r="N75" s="37"/>
      <c r="O75" s="21"/>
      <c r="Q75" s="243"/>
      <c r="R75" s="237"/>
      <c r="S75" s="237"/>
      <c r="T75" s="237"/>
      <c r="U75" s="237"/>
      <c r="V75" s="237"/>
      <c r="W75" s="237"/>
      <c r="X75" s="237"/>
      <c r="Y75" s="237"/>
    </row>
    <row r="76" spans="2:25" ht="33" customHeight="1">
      <c r="B76" s="282" t="s">
        <v>168</v>
      </c>
      <c r="C76" s="282"/>
      <c r="D76" s="282"/>
      <c r="E76" s="282"/>
      <c r="F76" s="282"/>
      <c r="G76" s="282"/>
      <c r="H76" s="282"/>
      <c r="I76" s="282"/>
      <c r="J76" s="282"/>
      <c r="K76" s="282"/>
      <c r="L76" s="282"/>
      <c r="M76" s="282"/>
      <c r="N76" s="282"/>
      <c r="O76" s="282"/>
      <c r="Q76" s="243"/>
      <c r="R76" s="237"/>
      <c r="S76" s="237"/>
      <c r="T76" s="237"/>
      <c r="U76" s="237"/>
      <c r="V76" s="237"/>
      <c r="W76" s="237"/>
      <c r="X76" s="237"/>
      <c r="Y76" s="237"/>
    </row>
    <row r="77" spans="2:25" ht="110.25" customHeight="1">
      <c r="B77" s="283" t="s">
        <v>169</v>
      </c>
      <c r="C77" s="283"/>
      <c r="D77" s="40"/>
      <c r="E77" s="288" t="s">
        <v>268</v>
      </c>
      <c r="F77" s="288"/>
      <c r="G77" s="288"/>
      <c r="H77" s="288"/>
      <c r="I77" s="288"/>
      <c r="J77" s="286" t="s">
        <v>170</v>
      </c>
      <c r="K77" s="286"/>
      <c r="L77" s="286"/>
      <c r="M77" s="21"/>
      <c r="N77" s="37" t="s">
        <v>309</v>
      </c>
      <c r="O77" s="21"/>
      <c r="Q77" s="243"/>
      <c r="R77" s="237"/>
      <c r="S77" s="237"/>
      <c r="T77" s="237"/>
      <c r="U77" s="237"/>
      <c r="V77" s="237"/>
      <c r="W77" s="237"/>
      <c r="X77" s="237"/>
      <c r="Y77" s="237"/>
    </row>
    <row r="78" spans="2:25" ht="65.25" customHeight="1">
      <c r="B78" s="287" t="s">
        <v>171</v>
      </c>
      <c r="C78" s="287"/>
      <c r="D78" s="29"/>
      <c r="E78" s="288" t="s">
        <v>269</v>
      </c>
      <c r="F78" s="288"/>
      <c r="G78" s="288"/>
      <c r="H78" s="288"/>
      <c r="I78" s="288"/>
      <c r="J78" s="286" t="s">
        <v>172</v>
      </c>
      <c r="K78" s="286"/>
      <c r="L78" s="286"/>
      <c r="M78" s="21"/>
      <c r="N78" s="37" t="s">
        <v>270</v>
      </c>
      <c r="O78" s="21"/>
      <c r="Q78" s="243"/>
      <c r="R78" s="237"/>
      <c r="S78" s="237"/>
      <c r="T78" s="237"/>
      <c r="U78" s="237"/>
      <c r="V78" s="237"/>
      <c r="W78" s="237"/>
      <c r="X78" s="237"/>
      <c r="Y78" s="237"/>
    </row>
    <row r="79" spans="2:25" ht="15" customHeight="1">
      <c r="B79" s="294"/>
      <c r="C79" s="294"/>
      <c r="D79" s="21"/>
      <c r="E79" s="21"/>
      <c r="F79" s="21"/>
      <c r="G79" s="21"/>
      <c r="H79" s="21"/>
      <c r="I79" s="21"/>
      <c r="J79" s="21"/>
      <c r="K79" s="299"/>
      <c r="L79" s="299"/>
      <c r="M79" s="43"/>
      <c r="N79" s="37"/>
      <c r="O79" s="21"/>
      <c r="Q79" s="243"/>
      <c r="R79" s="237"/>
      <c r="S79" s="237"/>
      <c r="T79" s="237"/>
      <c r="U79" s="237"/>
      <c r="V79" s="237"/>
      <c r="W79" s="237"/>
      <c r="X79" s="237"/>
      <c r="Y79" s="237"/>
    </row>
    <row r="80" spans="2:25" ht="126" customHeight="1">
      <c r="B80" s="283" t="s">
        <v>173</v>
      </c>
      <c r="C80" s="283"/>
      <c r="D80" s="40"/>
      <c r="E80" s="288" t="s">
        <v>271</v>
      </c>
      <c r="F80" s="288"/>
      <c r="G80" s="288"/>
      <c r="H80" s="288"/>
      <c r="I80" s="288"/>
      <c r="J80" s="21"/>
      <c r="K80" s="285"/>
      <c r="L80" s="285"/>
      <c r="M80" s="21"/>
      <c r="N80" s="37"/>
      <c r="O80" s="21"/>
      <c r="Q80" s="243"/>
      <c r="R80" s="237"/>
      <c r="S80" s="237"/>
      <c r="T80" s="237"/>
      <c r="U80" s="237"/>
      <c r="V80" s="237"/>
      <c r="W80" s="237"/>
      <c r="X80" s="237"/>
      <c r="Y80" s="237"/>
    </row>
    <row r="81" spans="2:25" ht="15.75" customHeight="1">
      <c r="B81" s="38"/>
      <c r="C81" s="38"/>
      <c r="D81" s="40"/>
      <c r="E81" s="37"/>
      <c r="F81" s="37"/>
      <c r="G81" s="37"/>
      <c r="H81" s="37"/>
      <c r="I81" s="37"/>
      <c r="J81" s="21"/>
      <c r="K81" s="42"/>
      <c r="L81" s="42"/>
      <c r="M81" s="21"/>
      <c r="N81" s="37"/>
      <c r="O81" s="21"/>
      <c r="Q81" s="243"/>
      <c r="R81" s="237"/>
      <c r="S81" s="237"/>
      <c r="T81" s="237"/>
      <c r="U81" s="237"/>
      <c r="V81" s="237"/>
      <c r="W81" s="237"/>
      <c r="X81" s="237"/>
      <c r="Y81" s="237"/>
    </row>
    <row r="82" spans="2:25" ht="33" customHeight="1">
      <c r="B82" s="282" t="s">
        <v>174</v>
      </c>
      <c r="C82" s="282"/>
      <c r="D82" s="282"/>
      <c r="E82" s="282"/>
      <c r="F82" s="282"/>
      <c r="G82" s="282"/>
      <c r="H82" s="282"/>
      <c r="I82" s="282"/>
      <c r="J82" s="282"/>
      <c r="K82" s="282"/>
      <c r="L82" s="282"/>
      <c r="M82" s="282"/>
      <c r="N82" s="282"/>
      <c r="O82" s="282"/>
      <c r="Q82" s="243"/>
      <c r="R82" s="237"/>
      <c r="S82" s="237"/>
      <c r="T82" s="237"/>
      <c r="U82" s="237"/>
      <c r="V82" s="237"/>
      <c r="W82" s="237"/>
      <c r="X82" s="237"/>
      <c r="Y82" s="237"/>
    </row>
    <row r="83" spans="2:25" ht="151.5" customHeight="1">
      <c r="B83" s="283" t="s">
        <v>175</v>
      </c>
      <c r="C83" s="283"/>
      <c r="D83" s="40"/>
      <c r="E83" s="288" t="s">
        <v>272</v>
      </c>
      <c r="F83" s="288"/>
      <c r="G83" s="288"/>
      <c r="H83" s="288"/>
      <c r="I83" s="288"/>
      <c r="J83" s="21"/>
      <c r="K83" s="42"/>
      <c r="L83" s="42"/>
      <c r="M83" s="21"/>
      <c r="N83" s="37"/>
      <c r="O83" s="21"/>
      <c r="Q83" s="243"/>
      <c r="R83" s="237"/>
      <c r="S83" s="237"/>
      <c r="T83" s="237"/>
      <c r="U83" s="237"/>
      <c r="V83" s="237"/>
      <c r="W83" s="237"/>
      <c r="X83" s="237"/>
      <c r="Y83" s="237"/>
    </row>
    <row r="84" spans="2:25" ht="15.75" customHeight="1">
      <c r="B84" s="38"/>
      <c r="C84" s="38"/>
      <c r="D84" s="40"/>
      <c r="E84" s="37"/>
      <c r="F84" s="37"/>
      <c r="G84" s="37"/>
      <c r="H84" s="37"/>
      <c r="I84" s="37"/>
      <c r="J84" s="21"/>
      <c r="K84" s="42"/>
      <c r="L84" s="42"/>
      <c r="M84" s="21"/>
      <c r="N84" s="37"/>
      <c r="O84" s="21"/>
      <c r="Q84" s="243"/>
      <c r="R84" s="237"/>
      <c r="S84" s="237"/>
      <c r="T84" s="237"/>
      <c r="U84" s="237"/>
      <c r="V84" s="237"/>
      <c r="W84" s="237"/>
      <c r="X84" s="237"/>
      <c r="Y84" s="237"/>
    </row>
    <row r="85" spans="2:25" ht="33" customHeight="1">
      <c r="B85" s="282" t="s">
        <v>178</v>
      </c>
      <c r="C85" s="282"/>
      <c r="D85" s="282"/>
      <c r="E85" s="282"/>
      <c r="F85" s="282"/>
      <c r="G85" s="282"/>
      <c r="H85" s="282"/>
      <c r="I85" s="282"/>
      <c r="J85" s="282"/>
      <c r="K85" s="282"/>
      <c r="L85" s="282"/>
      <c r="M85" s="282"/>
      <c r="N85" s="282"/>
      <c r="O85" s="282"/>
      <c r="Q85" s="243"/>
      <c r="R85" s="237"/>
      <c r="S85" s="237"/>
      <c r="T85" s="237"/>
      <c r="U85" s="237"/>
      <c r="V85" s="237"/>
      <c r="W85" s="237"/>
      <c r="X85" s="237"/>
      <c r="Y85" s="237"/>
    </row>
    <row r="86" spans="2:25" ht="108.75" customHeight="1">
      <c r="B86" s="283" t="s">
        <v>179</v>
      </c>
      <c r="C86" s="283"/>
      <c r="D86" s="40"/>
      <c r="E86" s="288" t="s">
        <v>273</v>
      </c>
      <c r="F86" s="288"/>
      <c r="G86" s="288"/>
      <c r="H86" s="288"/>
      <c r="I86" s="288"/>
      <c r="J86" s="285" t="s">
        <v>180</v>
      </c>
      <c r="K86" s="285"/>
      <c r="L86" s="285"/>
      <c r="M86" s="21"/>
      <c r="N86" s="37" t="s">
        <v>274</v>
      </c>
      <c r="O86" s="21"/>
      <c r="Q86" s="243"/>
      <c r="R86" s="237"/>
      <c r="S86" s="237"/>
      <c r="T86" s="237"/>
      <c r="U86" s="237"/>
      <c r="V86" s="237"/>
      <c r="W86" s="237"/>
      <c r="X86" s="237"/>
      <c r="Y86" s="237"/>
    </row>
    <row r="87" spans="2:25" ht="15.75" customHeight="1">
      <c r="B87" s="38"/>
      <c r="C87" s="38"/>
      <c r="D87" s="40"/>
      <c r="E87" s="37"/>
      <c r="F87" s="37"/>
      <c r="G87" s="37"/>
      <c r="H87" s="37"/>
      <c r="I87" s="37"/>
      <c r="J87" s="21"/>
      <c r="K87" s="42"/>
      <c r="L87" s="42"/>
      <c r="M87" s="21"/>
      <c r="N87" s="37"/>
      <c r="O87" s="21"/>
      <c r="Q87" s="243"/>
      <c r="R87" s="237"/>
      <c r="S87" s="237"/>
      <c r="T87" s="237"/>
      <c r="U87" s="237"/>
      <c r="V87" s="237"/>
      <c r="W87" s="237"/>
      <c r="X87" s="237"/>
      <c r="Y87" s="237"/>
    </row>
    <row r="88" spans="2:25" ht="15.5">
      <c r="B88" s="38"/>
      <c r="C88" s="38"/>
      <c r="D88" s="40"/>
      <c r="E88" s="37"/>
      <c r="F88" s="37"/>
      <c r="G88" s="37"/>
      <c r="H88" s="37"/>
      <c r="I88" s="37"/>
      <c r="J88" s="21"/>
      <c r="K88" s="42"/>
      <c r="L88" s="42"/>
      <c r="M88" s="21"/>
      <c r="N88" s="37"/>
      <c r="O88" s="21"/>
      <c r="Q88" s="243"/>
      <c r="R88" s="237"/>
      <c r="S88" s="237"/>
      <c r="T88" s="237"/>
      <c r="U88" s="237"/>
      <c r="V88" s="237"/>
      <c r="W88" s="237"/>
      <c r="X88" s="237"/>
      <c r="Y88" s="237"/>
    </row>
    <row r="89" spans="2:25" ht="78" customHeight="1">
      <c r="B89" s="283" t="s">
        <v>181</v>
      </c>
      <c r="C89" s="283"/>
      <c r="D89" s="40"/>
      <c r="E89" s="288" t="s">
        <v>275</v>
      </c>
      <c r="F89" s="288"/>
      <c r="G89" s="288"/>
      <c r="H89" s="288"/>
      <c r="I89" s="288"/>
      <c r="J89" s="283" t="s">
        <v>334</v>
      </c>
      <c r="K89" s="283"/>
      <c r="L89" s="283"/>
      <c r="M89" s="21"/>
      <c r="N89" s="37" t="s">
        <v>276</v>
      </c>
      <c r="O89" s="21"/>
      <c r="Q89" s="243"/>
      <c r="R89" s="237"/>
      <c r="S89" s="237"/>
      <c r="T89" s="237"/>
      <c r="U89" s="237"/>
      <c r="V89" s="237"/>
      <c r="W89" s="237"/>
      <c r="X89" s="237"/>
      <c r="Y89" s="237"/>
    </row>
    <row r="90" spans="2:25" ht="15.75" customHeight="1">
      <c r="B90" s="38"/>
      <c r="C90" s="38"/>
      <c r="D90" s="40"/>
      <c r="E90" s="37"/>
      <c r="F90" s="37"/>
      <c r="G90" s="37"/>
      <c r="H90" s="37"/>
      <c r="I90" s="37"/>
      <c r="J90" s="21"/>
      <c r="K90" s="42"/>
      <c r="L90" s="42"/>
      <c r="M90" s="21"/>
      <c r="N90" s="37"/>
      <c r="O90" s="21"/>
      <c r="Q90" s="243"/>
      <c r="R90" s="237"/>
      <c r="S90" s="237"/>
      <c r="T90" s="237"/>
      <c r="U90" s="237"/>
      <c r="V90" s="237"/>
      <c r="W90" s="237"/>
      <c r="X90" s="237"/>
      <c r="Y90" s="237"/>
    </row>
    <row r="91" spans="2:25" ht="33" customHeight="1">
      <c r="B91" s="282" t="s">
        <v>176</v>
      </c>
      <c r="C91" s="282"/>
      <c r="D91" s="282"/>
      <c r="E91" s="282"/>
      <c r="F91" s="282"/>
      <c r="G91" s="282"/>
      <c r="H91" s="282"/>
      <c r="I91" s="282"/>
      <c r="J91" s="282"/>
      <c r="K91" s="282"/>
      <c r="L91" s="282"/>
      <c r="M91" s="282"/>
      <c r="N91" s="282"/>
      <c r="O91" s="282"/>
      <c r="Q91" s="243"/>
      <c r="R91" s="237"/>
      <c r="S91" s="237"/>
      <c r="T91" s="237"/>
      <c r="U91" s="237"/>
      <c r="V91" s="237"/>
      <c r="W91" s="237"/>
      <c r="X91" s="237"/>
      <c r="Y91" s="237"/>
    </row>
    <row r="92" spans="2:25" ht="177.75" customHeight="1">
      <c r="B92" s="283" t="s">
        <v>177</v>
      </c>
      <c r="C92" s="283"/>
      <c r="D92" s="40"/>
      <c r="E92" s="288" t="s">
        <v>277</v>
      </c>
      <c r="F92" s="288"/>
      <c r="G92" s="288"/>
      <c r="H92" s="288"/>
      <c r="I92" s="288"/>
      <c r="J92" s="21"/>
      <c r="K92" s="42"/>
      <c r="L92" s="42"/>
      <c r="M92" s="21"/>
      <c r="N92" s="37"/>
      <c r="O92" s="21"/>
      <c r="Q92" s="243"/>
      <c r="R92" s="237"/>
      <c r="S92" s="237"/>
      <c r="T92" s="237"/>
      <c r="U92" s="237"/>
      <c r="V92" s="237"/>
      <c r="W92" s="237"/>
      <c r="X92" s="237"/>
      <c r="Y92" s="237"/>
    </row>
    <row r="93" spans="2:25" ht="15" customHeight="1">
      <c r="B93" s="29"/>
      <c r="C93" s="29"/>
      <c r="D93" s="29"/>
      <c r="E93" s="29"/>
      <c r="F93" s="29"/>
      <c r="G93" s="29"/>
      <c r="H93" s="29"/>
      <c r="I93" s="29"/>
      <c r="J93" s="21"/>
      <c r="K93" s="21"/>
      <c r="L93" s="21"/>
      <c r="M93" s="21"/>
      <c r="N93" s="21"/>
      <c r="O93" s="21"/>
      <c r="Q93" s="243"/>
      <c r="R93" s="237"/>
      <c r="S93" s="237"/>
      <c r="T93" s="237"/>
      <c r="U93" s="237"/>
      <c r="V93" s="237"/>
      <c r="W93" s="237"/>
      <c r="X93" s="237"/>
      <c r="Y93" s="237"/>
    </row>
    <row r="94" spans="2:25" ht="15" customHeight="1">
      <c r="B94" s="29"/>
      <c r="C94" s="29"/>
      <c r="D94" s="29"/>
      <c r="E94" s="29"/>
      <c r="F94" s="29"/>
      <c r="G94" s="29"/>
      <c r="H94" s="29"/>
      <c r="I94" s="29"/>
      <c r="J94" s="21"/>
      <c r="K94" s="21"/>
      <c r="L94" s="21"/>
      <c r="M94" s="21"/>
      <c r="N94" s="21"/>
      <c r="O94" s="21"/>
      <c r="Q94" s="243"/>
      <c r="R94" s="237"/>
      <c r="S94" s="237"/>
      <c r="T94" s="237"/>
      <c r="U94" s="237"/>
      <c r="V94" s="237"/>
      <c r="W94" s="237"/>
      <c r="X94" s="237"/>
      <c r="Y94" s="237"/>
    </row>
    <row r="95" spans="2:25" ht="15.5">
      <c r="B95" s="21"/>
      <c r="C95" s="21"/>
      <c r="D95" s="21"/>
      <c r="E95" s="21"/>
      <c r="F95" s="21"/>
      <c r="G95" s="21"/>
      <c r="H95" s="21"/>
      <c r="I95" s="21"/>
      <c r="J95" s="21"/>
      <c r="K95" s="21"/>
      <c r="L95" s="21"/>
      <c r="M95" s="21"/>
      <c r="N95" s="21"/>
      <c r="O95" s="21"/>
    </row>
    <row r="96" spans="2:25" ht="15.5">
      <c r="B96" s="21"/>
      <c r="C96" s="21"/>
      <c r="D96" s="21"/>
      <c r="E96" s="21"/>
      <c r="F96" s="21"/>
      <c r="G96" s="21"/>
      <c r="H96" s="21"/>
      <c r="I96" s="21"/>
      <c r="J96" s="21"/>
      <c r="K96" s="21"/>
      <c r="L96" s="21"/>
      <c r="M96" s="21"/>
      <c r="N96" s="21"/>
      <c r="O96" s="21"/>
    </row>
    <row r="97" spans="2:15">
      <c r="B97" s="29"/>
      <c r="C97" s="29"/>
      <c r="D97" s="29"/>
      <c r="E97" s="29"/>
      <c r="F97" s="29"/>
      <c r="G97" s="29"/>
      <c r="H97" s="29"/>
      <c r="I97" s="29"/>
      <c r="J97" s="29"/>
      <c r="K97" s="29"/>
      <c r="L97" s="29"/>
      <c r="M97" s="29"/>
      <c r="N97" s="29"/>
      <c r="O97" s="29"/>
    </row>
    <row r="98" spans="2:15">
      <c r="B98" s="29"/>
      <c r="C98" s="29"/>
      <c r="D98" s="29"/>
      <c r="E98" s="29"/>
      <c r="F98" s="29"/>
      <c r="G98" s="29"/>
      <c r="H98" s="29"/>
      <c r="I98" s="29"/>
      <c r="J98" s="29"/>
      <c r="K98" s="29"/>
      <c r="L98" s="29"/>
      <c r="M98" s="29"/>
      <c r="N98" s="29"/>
      <c r="O98" s="29"/>
    </row>
    <row r="99" spans="2:15"/>
    <row r="100" spans="2:15"/>
    <row r="101" spans="2:15"/>
    <row r="102" spans="2:15"/>
    <row r="103" spans="2:15"/>
    <row r="104" spans="2:15"/>
    <row r="106" spans="2:15"/>
    <row r="107" spans="2:15"/>
    <row r="113"/>
    <row r="115"/>
    <row r="116"/>
  </sheetData>
  <sheetProtection sheet="1" selectLockedCells="1"/>
  <mergeCells count="73">
    <mergeCell ref="E83:I83"/>
    <mergeCell ref="E86:I86"/>
    <mergeCell ref="E89:I89"/>
    <mergeCell ref="E92:I92"/>
    <mergeCell ref="E41:I45"/>
    <mergeCell ref="E47:I51"/>
    <mergeCell ref="E67:I67"/>
    <mergeCell ref="E70:I70"/>
    <mergeCell ref="E72:I72"/>
    <mergeCell ref="B91:O91"/>
    <mergeCell ref="B83:C83"/>
    <mergeCell ref="B67:C67"/>
    <mergeCell ref="B68:C68"/>
    <mergeCell ref="K79:L79"/>
    <mergeCell ref="B71:C71"/>
    <mergeCell ref="B72:C72"/>
    <mergeCell ref="C29:D29"/>
    <mergeCell ref="B33:O33"/>
    <mergeCell ref="B35:C36"/>
    <mergeCell ref="N36:N38"/>
    <mergeCell ref="E29:I29"/>
    <mergeCell ref="E31:I31"/>
    <mergeCell ref="E35:I39"/>
    <mergeCell ref="N9:N13"/>
    <mergeCell ref="E9:I9"/>
    <mergeCell ref="E11:I11"/>
    <mergeCell ref="E13:I13"/>
    <mergeCell ref="E15:I15"/>
    <mergeCell ref="J74:L74"/>
    <mergeCell ref="E17:I21"/>
    <mergeCell ref="E23:I27"/>
    <mergeCell ref="N42:N44"/>
    <mergeCell ref="N48:N50"/>
    <mergeCell ref="N17:N21"/>
    <mergeCell ref="N23:N27"/>
    <mergeCell ref="K29:L29"/>
    <mergeCell ref="B92:C92"/>
    <mergeCell ref="B41:C42"/>
    <mergeCell ref="B47:C48"/>
    <mergeCell ref="B64:O64"/>
    <mergeCell ref="B53:O53"/>
    <mergeCell ref="B55:C55"/>
    <mergeCell ref="B57:C57"/>
    <mergeCell ref="B59:C59"/>
    <mergeCell ref="B85:O85"/>
    <mergeCell ref="B86:C86"/>
    <mergeCell ref="B89:C89"/>
    <mergeCell ref="J86:L86"/>
    <mergeCell ref="J89:L89"/>
    <mergeCell ref="B82:O82"/>
    <mergeCell ref="B76:O76"/>
    <mergeCell ref="B79:C79"/>
    <mergeCell ref="B80:C80"/>
    <mergeCell ref="J67:L67"/>
    <mergeCell ref="J68:L68"/>
    <mergeCell ref="J71:L71"/>
    <mergeCell ref="K80:L80"/>
    <mergeCell ref="J77:L77"/>
    <mergeCell ref="B78:C78"/>
    <mergeCell ref="J78:L78"/>
    <mergeCell ref="E74:I74"/>
    <mergeCell ref="E77:I77"/>
    <mergeCell ref="E78:I78"/>
    <mergeCell ref="E80:I80"/>
    <mergeCell ref="B74:C74"/>
    <mergeCell ref="B77:C77"/>
    <mergeCell ref="J75:L75"/>
    <mergeCell ref="J72:L72"/>
    <mergeCell ref="B61:C61"/>
    <mergeCell ref="B66:O66"/>
    <mergeCell ref="B69:O69"/>
    <mergeCell ref="B70:C70"/>
    <mergeCell ref="J70:L70"/>
  </mergeCells>
  <dataValidations xWindow="436" yWindow="809" count="1">
    <dataValidation type="list" allowBlank="1" showInputMessage="1" showErrorMessage="1" sqref="E31:I31" xr:uid="{B6BEB583-67DC-4A78-B38A-517728CEA6E7}">
      <formula1>"Pre-exploration phase, Exploration phase, Data preprocessing phase, Model creation phase, Post-MVP/Pre-depl. assessment, Deployment phase, Operation phase"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5" id="{1D00E260-0DC5-444C-AD91-C7AABDE7192E}">
            <xm:f>'0-Home'!$L$1="Currency: EUR"</xm:f>
            <x14:dxf>
              <numFmt numFmtId="170" formatCode="#,##0\ [$€-1]"/>
            </x14:dxf>
          </x14:cfRule>
          <x14:cfRule type="expression" priority="16" id="{36E27056-EB87-4F0A-96B4-C6AEC62A5518}">
            <xm:f>'0-Home'!$L$1="Currency: USD"</xm:f>
            <x14:dxf>
              <numFmt numFmtId="171" formatCode="&quot;$&quot;#,##0"/>
            </x14:dxf>
          </x14:cfRule>
          <xm:sqref>E55:F55 H55:I55</xm:sqref>
        </x14:conditionalFormatting>
        <x14:conditionalFormatting xmlns:xm="http://schemas.microsoft.com/office/excel/2006/main">
          <x14:cfRule type="expression" priority="13" id="{E3E2DFB3-6CD9-426C-9049-4A9C0542A438}">
            <xm:f>'0-Home'!$L$1="Currency: EUR"</xm:f>
            <x14:dxf>
              <numFmt numFmtId="170" formatCode="#,##0\ [$€-1]"/>
            </x14:dxf>
          </x14:cfRule>
          <x14:cfRule type="expression" priority="14" id="{D1FE1644-62C4-4196-A1D4-9AC929715073}">
            <xm:f>'0-Home'!$L$1="Currency: USD"</xm:f>
            <x14:dxf>
              <numFmt numFmtId="171" formatCode="&quot;$&quot;#,##0"/>
            </x14:dxf>
          </x14:cfRule>
          <xm:sqref>E57:F57 H57</xm:sqref>
        </x14:conditionalFormatting>
        <x14:conditionalFormatting xmlns:xm="http://schemas.microsoft.com/office/excel/2006/main">
          <x14:cfRule type="expression" priority="11" id="{1DB138A7-BF1B-4C84-8673-FE8FAE61EE22}">
            <xm:f>'0-Home'!$L$1="Currency: EUR"</xm:f>
            <x14:dxf>
              <numFmt numFmtId="170" formatCode="#,##0\ [$€-1]"/>
            </x14:dxf>
          </x14:cfRule>
          <x14:cfRule type="expression" priority="12" id="{D9F405C7-1203-4E37-B524-423D82930146}">
            <xm:f>'0-Home'!$L$1="Currency: USD"</xm:f>
            <x14:dxf>
              <numFmt numFmtId="171" formatCode="&quot;$&quot;#,##0"/>
            </x14:dxf>
          </x14:cfRule>
          <xm:sqref>E59:F59 H59</xm:sqref>
        </x14:conditionalFormatting>
        <x14:conditionalFormatting xmlns:xm="http://schemas.microsoft.com/office/excel/2006/main">
          <x14:cfRule type="expression" priority="9" id="{30151481-9CD8-459A-A0A4-62249D5E6325}">
            <xm:f>'0-Home'!$L$1="Currency: EUR"</xm:f>
            <x14:dxf>
              <numFmt numFmtId="170" formatCode="#,##0\ [$€-1]"/>
            </x14:dxf>
          </x14:cfRule>
          <x14:cfRule type="expression" priority="10" id="{A34E440C-6271-44C3-9BF8-26D06BB50C12}">
            <xm:f>'0-Home'!$L$1="Currency: USD"</xm:f>
            <x14:dxf>
              <numFmt numFmtId="171" formatCode="&quot;$&quot;#,##0"/>
            </x14:dxf>
          </x14:cfRule>
          <xm:sqref>E61:F61 H61</xm:sqref>
        </x14:conditionalFormatting>
        <x14:conditionalFormatting xmlns:xm="http://schemas.microsoft.com/office/excel/2006/main">
          <x14:cfRule type="expression" priority="7" id="{9DF8E3D5-1920-4E1F-ABB6-CEEDEF76F155}">
            <xm:f>'0-Home'!$L$1="Currency: EUR"</xm:f>
            <x14:dxf>
              <numFmt numFmtId="170" formatCode="#,##0\ [$€-1]"/>
            </x14:dxf>
          </x14:cfRule>
          <x14:cfRule type="expression" priority="8" id="{F709F7AD-3B04-4D5E-82D5-61522135B697}">
            <xm:f>'0-Home'!$L$1="Currency: USD"</xm:f>
            <x14:dxf>
              <numFmt numFmtId="171" formatCode="&quot;$&quot;#,##0"/>
            </x14:dxf>
          </x14:cfRule>
          <xm:sqref>I57</xm:sqref>
        </x14:conditionalFormatting>
        <x14:conditionalFormatting xmlns:xm="http://schemas.microsoft.com/office/excel/2006/main">
          <x14:cfRule type="expression" priority="5" id="{A2DA96EF-35D9-4112-9FB6-27249DB4A7D0}">
            <xm:f>'0-Home'!$L$1="Currency: EUR"</xm:f>
            <x14:dxf>
              <numFmt numFmtId="170" formatCode="#,##0\ [$€-1]"/>
            </x14:dxf>
          </x14:cfRule>
          <x14:cfRule type="expression" priority="6" id="{F0D09B36-0E82-48D0-A51B-6AF6285AA4B5}">
            <xm:f>'0-Home'!$L$1="Currency: USD"</xm:f>
            <x14:dxf>
              <numFmt numFmtId="171" formatCode="&quot;$&quot;#,##0"/>
            </x14:dxf>
          </x14:cfRule>
          <xm:sqref>I59</xm:sqref>
        </x14:conditionalFormatting>
        <x14:conditionalFormatting xmlns:xm="http://schemas.microsoft.com/office/excel/2006/main">
          <x14:cfRule type="expression" priority="3" id="{0FBED387-F025-4CE6-8CF7-5DAE90B3F00B}">
            <xm:f>'0-Home'!$L$1="Currency: EUR"</xm:f>
            <x14:dxf>
              <numFmt numFmtId="170" formatCode="#,##0\ [$€-1]"/>
            </x14:dxf>
          </x14:cfRule>
          <x14:cfRule type="expression" priority="4" id="{E4F86FBE-4D3C-4D4E-BC4F-77CFB1487233}">
            <xm:f>'0-Home'!$L$1="Currency: USD"</xm:f>
            <x14:dxf>
              <numFmt numFmtId="171" formatCode="&quot;$&quot;#,##0"/>
            </x14:dxf>
          </x14:cfRule>
          <xm:sqref>I61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D6017-6BF0-4B0F-85AD-A3B0E9063D3E}">
  <sheetPr codeName="Sheet4">
    <tabColor rgb="FF3CAEA3"/>
  </sheetPr>
  <dimension ref="A1:AF204"/>
  <sheetViews>
    <sheetView showRowColHeaders="0" zoomScale="80" zoomScaleNormal="80" workbookViewId="0">
      <pane ySplit="7" topLeftCell="A8" activePane="bottomLeft" state="frozen"/>
      <selection pane="bottomLeft" activeCell="E21" sqref="E21"/>
    </sheetView>
  </sheetViews>
  <sheetFormatPr baseColWidth="10" defaultColWidth="0" defaultRowHeight="12.75" customHeight="1" zeroHeight="1"/>
  <cols>
    <col min="1" max="1" width="5.81640625" style="18" customWidth="1"/>
    <col min="2" max="2" width="13" style="18" customWidth="1"/>
    <col min="3" max="3" width="19.453125" style="18" customWidth="1"/>
    <col min="4" max="4" width="2.81640625" style="18" customWidth="1"/>
    <col min="5" max="5" width="20" style="18" customWidth="1"/>
    <col min="6" max="6" width="9.1796875" style="18" customWidth="1"/>
    <col min="7" max="7" width="20" style="18" customWidth="1"/>
    <col min="8" max="8" width="9.1796875" style="18" customWidth="1"/>
    <col min="9" max="9" width="20" style="18" customWidth="1"/>
    <col min="10" max="10" width="9.1796875" style="18" customWidth="1"/>
    <col min="11" max="11" width="20" style="18" customWidth="1"/>
    <col min="12" max="12" width="9.1796875" style="18" customWidth="1"/>
    <col min="13" max="13" width="20" style="18" customWidth="1"/>
    <col min="14" max="14" width="9.1796875" style="18" customWidth="1"/>
    <col min="15" max="15" width="20" style="18" customWidth="1"/>
    <col min="16" max="16" width="9.1796875" style="18" customWidth="1"/>
    <col min="17" max="17" width="26.54296875" style="18" customWidth="1"/>
    <col min="18" max="19" width="9.1796875" style="18" customWidth="1"/>
    <col min="20" max="30" width="0.1796875" style="20" customWidth="1"/>
    <col min="31" max="32" width="25.54296875" style="227" hidden="1" customWidth="1"/>
    <col min="33" max="16384" width="12.7265625" style="18" hidden="1"/>
  </cols>
  <sheetData>
    <row r="1" spans="2:28" ht="48" customHeight="1"/>
    <row r="2" spans="2:28" ht="15.5">
      <c r="B2" s="19"/>
      <c r="C2" s="19"/>
      <c r="D2" s="19"/>
      <c r="E2" s="19"/>
      <c r="F2" s="19"/>
      <c r="G2" s="19"/>
      <c r="H2" s="19"/>
      <c r="I2" s="19"/>
      <c r="J2" s="19"/>
      <c r="K2" s="19"/>
      <c r="L2" s="19"/>
      <c r="M2" s="19"/>
      <c r="N2" s="19"/>
      <c r="O2" s="19"/>
      <c r="P2" s="19"/>
      <c r="Q2" s="19"/>
      <c r="R2" s="19"/>
    </row>
    <row r="3" spans="2:28" ht="15.5">
      <c r="B3" s="19"/>
      <c r="C3" s="19"/>
      <c r="D3" s="19"/>
      <c r="E3" s="19"/>
      <c r="F3" s="19"/>
      <c r="G3" s="19"/>
      <c r="H3" s="19"/>
      <c r="I3" s="19"/>
      <c r="J3" s="19"/>
      <c r="K3" s="19"/>
      <c r="L3" s="19"/>
      <c r="M3" s="19"/>
      <c r="N3" s="19"/>
      <c r="O3" s="19"/>
      <c r="P3" s="19"/>
      <c r="Q3" s="19"/>
      <c r="R3" s="19"/>
    </row>
    <row r="4" spans="2:28" ht="15.5">
      <c r="B4" s="19"/>
      <c r="C4" s="19"/>
      <c r="D4" s="19"/>
      <c r="E4" s="19"/>
      <c r="F4" s="19"/>
      <c r="G4" s="19"/>
      <c r="H4" s="19"/>
      <c r="I4" s="19"/>
      <c r="J4" s="19"/>
      <c r="K4" s="19"/>
      <c r="L4" s="19"/>
      <c r="M4" s="19"/>
      <c r="N4" s="19"/>
      <c r="O4" s="19"/>
      <c r="P4" s="19"/>
      <c r="Q4" s="19"/>
      <c r="R4" s="19"/>
    </row>
    <row r="5" spans="2:28" ht="15.5">
      <c r="B5" s="19"/>
      <c r="C5" s="19"/>
      <c r="D5" s="19"/>
      <c r="E5" s="19"/>
      <c r="F5" s="19"/>
      <c r="G5" s="19"/>
      <c r="H5" s="19"/>
      <c r="I5" s="19"/>
      <c r="J5" s="19"/>
      <c r="K5" s="19"/>
      <c r="L5" s="19"/>
      <c r="M5" s="19"/>
      <c r="N5" s="19"/>
      <c r="O5" s="19"/>
      <c r="P5" s="19"/>
      <c r="Q5" s="19"/>
      <c r="R5" s="19"/>
    </row>
    <row r="6" spans="2:28" ht="15.5">
      <c r="B6" s="19"/>
      <c r="C6" s="19"/>
      <c r="D6" s="19"/>
      <c r="E6" s="19"/>
      <c r="F6" s="19"/>
      <c r="G6" s="19"/>
      <c r="H6" s="19"/>
      <c r="I6" s="19"/>
      <c r="J6" s="19"/>
      <c r="K6" s="19"/>
      <c r="L6" s="19"/>
      <c r="M6" s="19"/>
      <c r="N6" s="19"/>
      <c r="O6" s="19"/>
      <c r="P6" s="19"/>
      <c r="Q6" s="19"/>
      <c r="R6" s="19"/>
    </row>
    <row r="7" spans="2:28" ht="15.5">
      <c r="B7" s="19"/>
      <c r="C7" s="19"/>
      <c r="D7" s="19"/>
      <c r="E7" s="19"/>
      <c r="F7" s="19"/>
      <c r="G7" s="19"/>
      <c r="H7" s="19"/>
      <c r="I7" s="19"/>
      <c r="J7" s="19"/>
      <c r="K7" s="19"/>
      <c r="L7" s="19"/>
      <c r="M7" s="19"/>
      <c r="N7" s="19"/>
      <c r="O7" s="19"/>
      <c r="P7" s="19"/>
      <c r="Q7" s="19"/>
      <c r="R7" s="19"/>
    </row>
    <row r="8" spans="2:28" ht="15.5">
      <c r="B8" s="25"/>
      <c r="C8" s="25"/>
      <c r="D8" s="25"/>
      <c r="E8" s="25"/>
      <c r="F8" s="25"/>
      <c r="G8" s="25"/>
      <c r="H8" s="25"/>
      <c r="I8" s="25"/>
      <c r="J8" s="25"/>
      <c r="K8" s="25"/>
      <c r="L8" s="25"/>
      <c r="M8" s="25"/>
      <c r="N8" s="25"/>
      <c r="O8" s="25"/>
      <c r="P8" s="25"/>
      <c r="Q8" s="25"/>
      <c r="R8" s="25"/>
      <c r="S8" s="44"/>
      <c r="T8" s="59"/>
      <c r="U8" s="59"/>
      <c r="V8" s="59"/>
      <c r="W8" s="59"/>
      <c r="X8" s="59"/>
      <c r="Y8" s="59"/>
      <c r="Z8" s="59"/>
      <c r="AA8" s="59"/>
      <c r="AB8" s="59"/>
    </row>
    <row r="9" spans="2:28" ht="30" customHeight="1">
      <c r="B9" s="314" t="s">
        <v>252</v>
      </c>
      <c r="C9" s="314"/>
      <c r="D9" s="45"/>
      <c r="E9" s="207">
        <f>M28+M36</f>
        <v>3641840</v>
      </c>
      <c r="F9" s="45"/>
      <c r="G9" s="207">
        <f>M30+M38</f>
        <v>2505130</v>
      </c>
      <c r="H9" s="46"/>
      <c r="I9" s="207">
        <f>M32+M40</f>
        <v>3073485</v>
      </c>
      <c r="J9" s="47"/>
      <c r="K9" s="312" t="s">
        <v>311</v>
      </c>
      <c r="L9" s="312"/>
      <c r="M9" s="312"/>
      <c r="N9" s="312"/>
      <c r="O9" s="312"/>
      <c r="P9" s="312"/>
      <c r="Q9" s="312"/>
      <c r="R9" s="25"/>
      <c r="S9" s="44"/>
      <c r="T9" s="59"/>
      <c r="U9" s="59"/>
      <c r="V9" s="59"/>
      <c r="W9" s="59"/>
      <c r="X9" s="59"/>
      <c r="Y9" s="59"/>
      <c r="Z9" s="59"/>
      <c r="AA9" s="59"/>
      <c r="AB9" s="59"/>
    </row>
    <row r="10" spans="2:28" ht="17.25" customHeight="1">
      <c r="B10" s="45"/>
      <c r="C10" s="45"/>
      <c r="D10" s="45"/>
      <c r="E10" s="48" t="s">
        <v>10</v>
      </c>
      <c r="F10" s="45"/>
      <c r="G10" s="48" t="s">
        <v>11</v>
      </c>
      <c r="H10" s="48"/>
      <c r="I10" s="48" t="s">
        <v>12</v>
      </c>
      <c r="J10" s="49"/>
      <c r="K10" s="312"/>
      <c r="L10" s="312"/>
      <c r="M10" s="312"/>
      <c r="N10" s="312"/>
      <c r="O10" s="312"/>
      <c r="P10" s="312"/>
      <c r="Q10" s="312"/>
      <c r="R10" s="25"/>
      <c r="S10" s="44"/>
      <c r="T10" s="59"/>
      <c r="U10" s="59"/>
      <c r="V10" s="59"/>
      <c r="W10" s="59"/>
      <c r="X10" s="59"/>
      <c r="Y10" s="59"/>
      <c r="Z10" s="59"/>
      <c r="AA10" s="59"/>
      <c r="AB10" s="59"/>
    </row>
    <row r="11" spans="2:28" ht="15.75" customHeight="1">
      <c r="B11" s="45"/>
      <c r="C11" s="50"/>
      <c r="D11" s="45"/>
      <c r="E11" s="51"/>
      <c r="F11" s="45"/>
      <c r="G11" s="45"/>
      <c r="H11" s="45"/>
      <c r="I11" s="45"/>
      <c r="J11" s="45"/>
      <c r="K11" s="312"/>
      <c r="L11" s="312"/>
      <c r="M11" s="312"/>
      <c r="N11" s="312"/>
      <c r="O11" s="312"/>
      <c r="P11" s="312"/>
      <c r="Q11" s="312"/>
      <c r="R11" s="25"/>
      <c r="S11" s="44"/>
      <c r="T11" s="59"/>
      <c r="U11" s="59"/>
      <c r="V11" s="59"/>
      <c r="W11" s="59"/>
      <c r="X11" s="59"/>
      <c r="Y11" s="59"/>
      <c r="Z11" s="59"/>
      <c r="AA11" s="59"/>
      <c r="AB11" s="59"/>
    </row>
    <row r="12" spans="2:28" ht="30" customHeight="1">
      <c r="B12" s="314"/>
      <c r="C12" s="314"/>
      <c r="D12" s="45"/>
      <c r="E12" s="46"/>
      <c r="F12" s="45"/>
      <c r="G12" s="46"/>
      <c r="H12" s="46"/>
      <c r="I12" s="52"/>
      <c r="J12" s="45"/>
      <c r="K12" s="312"/>
      <c r="L12" s="312"/>
      <c r="M12" s="312"/>
      <c r="N12" s="312"/>
      <c r="O12" s="312"/>
      <c r="P12" s="312"/>
      <c r="Q12" s="312"/>
      <c r="R12" s="25"/>
      <c r="S12" s="44"/>
      <c r="T12" s="59"/>
      <c r="U12" s="59"/>
      <c r="V12" s="59"/>
      <c r="W12" s="59"/>
      <c r="X12" s="59"/>
      <c r="Y12" s="59"/>
      <c r="Z12" s="59"/>
      <c r="AA12" s="59"/>
      <c r="AB12" s="59"/>
    </row>
    <row r="13" spans="2:28" ht="83.5" customHeight="1">
      <c r="B13" s="314"/>
      <c r="C13" s="314"/>
      <c r="D13" s="45"/>
      <c r="E13" s="46"/>
      <c r="F13" s="45"/>
      <c r="G13" s="46"/>
      <c r="H13" s="46"/>
      <c r="I13" s="52"/>
      <c r="J13" s="45"/>
      <c r="K13" s="312"/>
      <c r="L13" s="312"/>
      <c r="M13" s="312"/>
      <c r="N13" s="312"/>
      <c r="O13" s="312"/>
      <c r="P13" s="312"/>
      <c r="Q13" s="312"/>
      <c r="R13" s="25"/>
      <c r="S13" s="44"/>
      <c r="T13" s="59"/>
      <c r="U13" s="59"/>
      <c r="V13" s="59"/>
      <c r="W13" s="59"/>
      <c r="X13" s="59"/>
      <c r="Y13" s="59"/>
      <c r="Z13" s="59"/>
      <c r="AA13" s="59"/>
      <c r="AB13" s="59"/>
    </row>
    <row r="14" spans="2:28" ht="15.75" customHeight="1">
      <c r="B14" s="53"/>
      <c r="C14" s="53"/>
      <c r="D14" s="45"/>
      <c r="E14" s="48"/>
      <c r="F14" s="45"/>
      <c r="G14" s="48"/>
      <c r="H14" s="48"/>
      <c r="I14" s="48"/>
      <c r="J14" s="45"/>
      <c r="K14" s="45"/>
      <c r="L14" s="45"/>
      <c r="M14" s="54"/>
      <c r="N14" s="54"/>
      <c r="O14" s="54"/>
      <c r="P14" s="29"/>
      <c r="Q14" s="55" t="s">
        <v>115</v>
      </c>
      <c r="R14" s="25"/>
      <c r="S14" s="44"/>
      <c r="T14" s="59"/>
      <c r="U14" s="59"/>
      <c r="V14" s="59"/>
      <c r="W14" s="59"/>
      <c r="X14" s="59"/>
      <c r="Y14" s="59"/>
      <c r="Z14" s="59"/>
      <c r="AA14" s="59"/>
      <c r="AB14" s="59"/>
    </row>
    <row r="15" spans="2:28" ht="15.75" customHeight="1">
      <c r="B15" s="53"/>
      <c r="C15" s="53"/>
      <c r="D15" s="45"/>
      <c r="E15" s="48"/>
      <c r="F15" s="45"/>
      <c r="G15" s="48"/>
      <c r="H15" s="48"/>
      <c r="I15" s="48"/>
      <c r="J15" s="45"/>
      <c r="K15" s="45"/>
      <c r="L15" s="45"/>
      <c r="M15" s="56"/>
      <c r="N15" s="56"/>
      <c r="O15" s="56"/>
      <c r="P15" s="56"/>
      <c r="Q15" s="56"/>
      <c r="R15" s="25"/>
      <c r="S15" s="44"/>
      <c r="T15" s="59"/>
      <c r="U15" s="59"/>
      <c r="V15" s="59"/>
      <c r="W15" s="59"/>
      <c r="X15" s="59"/>
      <c r="Y15" s="59"/>
      <c r="Z15" s="59"/>
      <c r="AA15" s="59"/>
      <c r="AB15" s="59"/>
    </row>
    <row r="16" spans="2:28" ht="30" customHeight="1">
      <c r="B16" s="314" t="s">
        <v>253</v>
      </c>
      <c r="C16" s="314"/>
      <c r="D16" s="45"/>
      <c r="E16" s="207">
        <f>M44+M52</f>
        <v>1368420</v>
      </c>
      <c r="F16" s="45"/>
      <c r="G16" s="207">
        <f>M46+M54</f>
        <v>684210</v>
      </c>
      <c r="H16" s="46"/>
      <c r="I16" s="207">
        <f>M48+M56</f>
        <v>1026315</v>
      </c>
      <c r="J16" s="47"/>
      <c r="K16" s="312" t="s">
        <v>312</v>
      </c>
      <c r="L16" s="313"/>
      <c r="M16" s="313"/>
      <c r="N16" s="313"/>
      <c r="O16" s="313"/>
      <c r="P16" s="313"/>
      <c r="Q16" s="313"/>
      <c r="R16" s="25"/>
      <c r="S16" s="44"/>
      <c r="T16" s="59"/>
      <c r="U16" s="59"/>
      <c r="V16" s="59"/>
      <c r="W16" s="59"/>
      <c r="X16" s="59"/>
      <c r="Y16" s="59"/>
      <c r="Z16" s="59"/>
      <c r="AA16" s="59"/>
      <c r="AB16" s="59"/>
    </row>
    <row r="17" spans="2:30" ht="17.25" customHeight="1">
      <c r="B17" s="45"/>
      <c r="C17" s="45"/>
      <c r="D17" s="45"/>
      <c r="E17" s="48" t="s">
        <v>10</v>
      </c>
      <c r="F17" s="45"/>
      <c r="G17" s="48" t="s">
        <v>11</v>
      </c>
      <c r="H17" s="48"/>
      <c r="I17" s="48" t="s">
        <v>12</v>
      </c>
      <c r="J17" s="49"/>
      <c r="K17" s="313"/>
      <c r="L17" s="313"/>
      <c r="M17" s="313"/>
      <c r="N17" s="313"/>
      <c r="O17" s="313"/>
      <c r="P17" s="313"/>
      <c r="Q17" s="313"/>
      <c r="R17" s="25"/>
      <c r="S17" s="44"/>
      <c r="T17" s="59"/>
      <c r="U17" s="59"/>
      <c r="V17" s="59"/>
      <c r="W17" s="59"/>
      <c r="X17" s="59"/>
      <c r="Y17" s="59"/>
      <c r="Z17" s="59"/>
      <c r="AA17" s="59"/>
      <c r="AB17" s="59"/>
    </row>
    <row r="18" spans="2:30" ht="15.75" customHeight="1">
      <c r="B18" s="45"/>
      <c r="C18" s="50"/>
      <c r="D18" s="45"/>
      <c r="E18" s="51"/>
      <c r="F18" s="45"/>
      <c r="G18" s="45"/>
      <c r="H18" s="45"/>
      <c r="I18" s="45"/>
      <c r="J18" s="45"/>
      <c r="K18" s="313"/>
      <c r="L18" s="313"/>
      <c r="M18" s="313"/>
      <c r="N18" s="313"/>
      <c r="O18" s="313"/>
      <c r="P18" s="313"/>
      <c r="Q18" s="313"/>
      <c r="R18" s="25"/>
      <c r="S18" s="44"/>
      <c r="T18" s="59"/>
      <c r="U18" s="59"/>
      <c r="V18" s="59"/>
      <c r="W18" s="59"/>
      <c r="X18" s="59"/>
      <c r="Y18" s="59"/>
      <c r="Z18" s="59"/>
      <c r="AA18" s="59"/>
      <c r="AB18" s="59"/>
    </row>
    <row r="19" spans="2:30" ht="30" customHeight="1">
      <c r="B19" s="314"/>
      <c r="C19" s="314"/>
      <c r="D19" s="45"/>
      <c r="E19" s="46"/>
      <c r="F19" s="45"/>
      <c r="G19" s="46"/>
      <c r="H19" s="46"/>
      <c r="I19" s="52"/>
      <c r="J19" s="45"/>
      <c r="K19" s="313"/>
      <c r="L19" s="313"/>
      <c r="M19" s="313"/>
      <c r="N19" s="313"/>
      <c r="O19" s="313"/>
      <c r="P19" s="313"/>
      <c r="Q19" s="313"/>
      <c r="R19" s="25"/>
      <c r="S19" s="44"/>
      <c r="T19" s="59"/>
      <c r="U19" s="59"/>
      <c r="V19" s="59"/>
      <c r="W19" s="59"/>
      <c r="X19" s="59"/>
      <c r="Y19" s="59"/>
      <c r="Z19" s="59"/>
      <c r="AA19" s="59"/>
      <c r="AB19" s="59"/>
    </row>
    <row r="20" spans="2:30" ht="30" customHeight="1">
      <c r="B20" s="314"/>
      <c r="C20" s="314"/>
      <c r="D20" s="45"/>
      <c r="E20" s="46"/>
      <c r="F20" s="45"/>
      <c r="G20" s="46"/>
      <c r="H20" s="46"/>
      <c r="I20" s="52"/>
      <c r="J20" s="45"/>
      <c r="K20" s="313"/>
      <c r="L20" s="313"/>
      <c r="M20" s="313"/>
      <c r="N20" s="313"/>
      <c r="O20" s="313"/>
      <c r="P20" s="313"/>
      <c r="Q20" s="313"/>
      <c r="R20" s="25"/>
      <c r="S20" s="44"/>
      <c r="T20" s="59"/>
      <c r="U20" s="59"/>
      <c r="V20" s="59"/>
      <c r="W20" s="59"/>
      <c r="X20" s="59"/>
      <c r="Y20" s="59"/>
      <c r="Z20" s="59"/>
      <c r="AA20" s="59"/>
      <c r="AB20" s="59"/>
    </row>
    <row r="21" spans="2:30" ht="30" customHeight="1">
      <c r="B21" s="314" t="s">
        <v>385</v>
      </c>
      <c r="C21" s="314"/>
      <c r="D21" s="45"/>
      <c r="E21" s="273">
        <v>0.1</v>
      </c>
      <c r="F21" s="240"/>
      <c r="G21" s="273">
        <v>0.05</v>
      </c>
      <c r="H21" s="241"/>
      <c r="I21" s="273">
        <v>7.4999999999999997E-2</v>
      </c>
      <c r="J21" s="45"/>
      <c r="K21" s="316"/>
      <c r="L21" s="317"/>
      <c r="M21" s="317"/>
      <c r="N21" s="317"/>
      <c r="O21" s="317"/>
      <c r="P21" s="317"/>
      <c r="Q21" s="317"/>
      <c r="R21" s="25"/>
      <c r="S21" s="44"/>
      <c r="T21" s="59"/>
      <c r="U21" s="59"/>
      <c r="V21" s="59"/>
      <c r="W21" s="59"/>
      <c r="X21" s="59"/>
      <c r="Y21" s="59"/>
      <c r="Z21" s="59"/>
      <c r="AA21" s="59"/>
      <c r="AB21" s="59"/>
    </row>
    <row r="22" spans="2:30" ht="15.5">
      <c r="B22" s="25"/>
      <c r="C22" s="25"/>
      <c r="D22" s="25"/>
      <c r="E22" s="274" t="s">
        <v>10</v>
      </c>
      <c r="F22" s="45"/>
      <c r="G22" s="274" t="s">
        <v>11</v>
      </c>
      <c r="H22" s="274"/>
      <c r="I22" s="274" t="s">
        <v>12</v>
      </c>
      <c r="J22" s="25"/>
      <c r="K22" s="25"/>
      <c r="L22" s="25"/>
      <c r="M22" s="25"/>
      <c r="N22" s="25"/>
      <c r="O22" s="25"/>
      <c r="P22" s="25"/>
      <c r="Q22" s="25"/>
      <c r="R22" s="25"/>
      <c r="S22" s="44"/>
      <c r="T22" s="59"/>
      <c r="U22" s="59" t="s">
        <v>337</v>
      </c>
      <c r="V22" s="59"/>
      <c r="W22" s="59"/>
      <c r="X22" s="59"/>
      <c r="Y22" s="59"/>
      <c r="Z22" s="59"/>
      <c r="AA22" s="59"/>
      <c r="AB22" s="59"/>
    </row>
    <row r="23" spans="2:30" ht="5.25" customHeight="1">
      <c r="B23" s="25"/>
      <c r="C23" s="60"/>
      <c r="D23" s="25"/>
      <c r="E23" s="315"/>
      <c r="F23" s="315"/>
      <c r="G23" s="315"/>
      <c r="H23" s="61"/>
      <c r="I23" s="25"/>
      <c r="J23" s="25"/>
      <c r="K23" s="25"/>
      <c r="L23" s="25"/>
      <c r="M23" s="24"/>
      <c r="N23" s="24"/>
      <c r="O23" s="24"/>
      <c r="P23" s="24"/>
      <c r="Q23" s="24"/>
      <c r="R23" s="25"/>
      <c r="S23" s="44"/>
      <c r="T23" s="59"/>
      <c r="U23" s="59" t="s">
        <v>335</v>
      </c>
      <c r="V23" s="59"/>
      <c r="W23" s="59"/>
      <c r="X23" s="59"/>
      <c r="Y23" s="59"/>
      <c r="Z23" s="59"/>
      <c r="AA23" s="59"/>
      <c r="AB23" s="59"/>
    </row>
    <row r="24" spans="2:30" ht="5.25" customHeight="1">
      <c r="B24" s="25"/>
      <c r="C24" s="62" t="str">
        <f>IF('1-Description'!E29="","Type in timeframe in description sheet","(During the "&amp;'1-Description'!E29&amp; " years)")</f>
        <v>(During the 10 years)</v>
      </c>
      <c r="D24" s="25"/>
      <c r="E24" s="24"/>
      <c r="F24" s="25"/>
      <c r="G24" s="25"/>
      <c r="H24" s="25"/>
      <c r="I24" s="25"/>
      <c r="J24" s="25"/>
      <c r="K24" s="25"/>
      <c r="L24" s="25"/>
      <c r="M24" s="24"/>
      <c r="N24" s="24"/>
      <c r="O24" s="24"/>
      <c r="P24" s="24"/>
      <c r="Q24" s="24"/>
      <c r="R24" s="25"/>
      <c r="S24" s="44"/>
      <c r="T24" s="59"/>
      <c r="U24" s="59" t="s">
        <v>145</v>
      </c>
      <c r="V24" s="59"/>
      <c r="W24" s="59"/>
      <c r="X24" s="59"/>
      <c r="Y24" s="59"/>
      <c r="Z24" s="59"/>
      <c r="AA24" s="59"/>
      <c r="AB24" s="59"/>
    </row>
    <row r="25" spans="2:30" ht="5.25" customHeight="1">
      <c r="B25" s="25"/>
      <c r="C25" s="25"/>
      <c r="D25" s="25"/>
      <c r="E25" s="24"/>
      <c r="F25" s="25"/>
      <c r="G25" s="25"/>
      <c r="H25" s="25"/>
      <c r="I25" s="25"/>
      <c r="J25" s="25"/>
      <c r="K25" s="25"/>
      <c r="L25" s="25"/>
      <c r="M25" s="24"/>
      <c r="N25" s="24"/>
      <c r="O25" s="24"/>
      <c r="P25" s="24"/>
      <c r="Q25" s="24"/>
      <c r="R25" s="25"/>
      <c r="S25" s="44"/>
      <c r="T25" s="59"/>
      <c r="U25" s="59" t="s">
        <v>336</v>
      </c>
      <c r="V25" s="59"/>
      <c r="W25" s="59"/>
      <c r="X25" s="59"/>
      <c r="Y25" s="59"/>
      <c r="Z25" s="59"/>
      <c r="AA25" s="59"/>
      <c r="AB25" s="59"/>
    </row>
    <row r="26" spans="2:30" ht="60" customHeight="1">
      <c r="B26" s="63" t="s">
        <v>138</v>
      </c>
      <c r="C26" s="64"/>
      <c r="D26" s="64"/>
      <c r="E26" s="64"/>
      <c r="F26" s="64"/>
      <c r="G26" s="64"/>
      <c r="H26" s="64"/>
      <c r="I26" s="64"/>
      <c r="J26" s="64"/>
      <c r="K26" s="64"/>
      <c r="L26" s="64"/>
      <c r="M26" s="64"/>
      <c r="N26" s="64"/>
      <c r="O26" s="64"/>
      <c r="P26" s="64"/>
      <c r="Q26" s="64"/>
      <c r="R26" s="64"/>
      <c r="S26" s="44"/>
      <c r="T26" s="94"/>
      <c r="U26" s="20" t="s">
        <v>146</v>
      </c>
      <c r="W26" s="226"/>
      <c r="X26" s="226"/>
      <c r="Y26" s="226"/>
      <c r="Z26" s="226"/>
      <c r="AA26" s="226"/>
      <c r="AB26" s="226"/>
      <c r="AC26" s="226"/>
      <c r="AD26" s="226"/>
    </row>
    <row r="27" spans="2:30" ht="60" customHeight="1">
      <c r="B27" s="65"/>
      <c r="C27" s="66"/>
      <c r="D27" s="66"/>
      <c r="E27" s="67" t="str">
        <f>_xlfn.IFNA(VLOOKUP(D28,$U$64:AF70,3,0),"")</f>
        <v>Resource expenditure for current process (time)</v>
      </c>
      <c r="F27" s="68" t="str">
        <f>_xlfn.IFNA(VLOOKUP(D28,$U$64:AF70,4,0),"")</f>
        <v>x</v>
      </c>
      <c r="G27" s="67" t="str">
        <f>_xlfn.IFNA(VLOOKUP(D28,$U$64:AF70,5,0),"")</f>
        <v>Reduction of effort through use cases (in %)</v>
      </c>
      <c r="H27" s="68" t="str">
        <f>_xlfn.IFNA(VLOOKUP(D28,$U$64:AF70,6,0),"")</f>
        <v>x</v>
      </c>
      <c r="I27" s="67" t="str">
        <f>_xlfn.IFNA(VLOOKUP(D28,$U$64:AF70,7,0),"")</f>
        <v>Cost factor 
(e.g., personnel costs)</v>
      </c>
      <c r="J27" s="68" t="str">
        <f>_xlfn.IFNA(VLOOKUP(D28,$U$64:AF70,8,0),"")</f>
        <v>x</v>
      </c>
      <c r="K27" s="67" t="str">
        <f>_xlfn.IFNA(VLOOKUP(D28,$U$64:AF70,9,0),"")</f>
        <v>Scaling effect (e.g., # of persons, processes etc.)</v>
      </c>
      <c r="L27" s="68" t="str">
        <f>IF(K27="","","=")</f>
        <v>=</v>
      </c>
      <c r="M27" s="69" t="str">
        <f>IF(L27="","","Total value")</f>
        <v>Total value</v>
      </c>
      <c r="N27" s="218" t="s">
        <v>297</v>
      </c>
      <c r="O27" s="67" t="s">
        <v>313</v>
      </c>
      <c r="P27" s="66"/>
      <c r="Q27" s="69" t="s">
        <v>144</v>
      </c>
      <c r="R27" s="66"/>
      <c r="S27" s="44"/>
      <c r="T27" s="94"/>
      <c r="U27" s="20" t="s">
        <v>147</v>
      </c>
      <c r="W27" s="226"/>
      <c r="X27" s="226"/>
      <c r="Y27" s="226"/>
      <c r="Z27" s="226"/>
      <c r="AA27" s="226"/>
      <c r="AB27" s="226"/>
      <c r="AC27" s="226"/>
      <c r="AD27" s="226"/>
    </row>
    <row r="28" spans="2:30" ht="30" customHeight="1">
      <c r="B28" s="311" t="s">
        <v>116</v>
      </c>
      <c r="C28" s="311"/>
      <c r="D28" s="70">
        <f>_xlfn.IFNA(VLOOKUP(B28,$T$65:$AD$70,2,0),"")</f>
        <v>1</v>
      </c>
      <c r="E28" s="73"/>
      <c r="F28" s="71"/>
      <c r="G28" s="73"/>
      <c r="H28" s="71"/>
      <c r="I28" s="73"/>
      <c r="J28" s="71"/>
      <c r="K28" s="73"/>
      <c r="L28" s="71"/>
      <c r="M28" s="207">
        <f>IF(AND(E28="",G28="",I28="",K28=""),O28,E28*G28*I28*K28)</f>
        <v>2736840</v>
      </c>
      <c r="N28" s="72"/>
      <c r="O28" s="73">
        <v>2736840</v>
      </c>
      <c r="P28" s="24"/>
      <c r="Q28" s="74" t="s">
        <v>337</v>
      </c>
      <c r="R28" s="25"/>
      <c r="S28" s="44"/>
      <c r="T28" s="59"/>
      <c r="W28" s="59"/>
      <c r="X28" s="59"/>
      <c r="Y28" s="59"/>
      <c r="Z28" s="59"/>
      <c r="AA28" s="59"/>
      <c r="AB28" s="59"/>
      <c r="AC28" s="59"/>
      <c r="AD28" s="59"/>
    </row>
    <row r="29" spans="2:30" ht="15.75" customHeight="1">
      <c r="B29" s="310" t="s">
        <v>242</v>
      </c>
      <c r="C29" s="310"/>
      <c r="D29" s="25"/>
      <c r="E29" s="48" t="s">
        <v>10</v>
      </c>
      <c r="F29" s="25"/>
      <c r="G29" s="48" t="s">
        <v>10</v>
      </c>
      <c r="H29" s="25"/>
      <c r="I29" s="48" t="s">
        <v>10</v>
      </c>
      <c r="J29" s="25"/>
      <c r="K29" s="48" t="s">
        <v>10</v>
      </c>
      <c r="L29" s="25"/>
      <c r="M29" s="48" t="s">
        <v>10</v>
      </c>
      <c r="N29" s="48"/>
      <c r="O29" s="48"/>
      <c r="P29" s="24"/>
      <c r="Q29" s="24"/>
      <c r="R29" s="25"/>
      <c r="S29" s="44"/>
      <c r="T29" s="59"/>
      <c r="W29" s="59"/>
      <c r="X29" s="59"/>
      <c r="Y29" s="59"/>
      <c r="Z29" s="59"/>
      <c r="AA29" s="59"/>
      <c r="AB29" s="59"/>
      <c r="AC29" s="59"/>
      <c r="AD29" s="59"/>
    </row>
    <row r="30" spans="2:30" ht="30" customHeight="1">
      <c r="B30" s="55"/>
      <c r="C30" s="55"/>
      <c r="D30" s="25"/>
      <c r="E30" s="73"/>
      <c r="F30" s="71"/>
      <c r="G30" s="73"/>
      <c r="H30" s="25"/>
      <c r="I30" s="73"/>
      <c r="J30" s="25"/>
      <c r="K30" s="73"/>
      <c r="L30" s="71"/>
      <c r="M30" s="207">
        <f>IF(AND(E30="",G30="",I30="",K30=""),O30,E30*G30*I30*K30)</f>
        <v>2052630</v>
      </c>
      <c r="N30" s="72"/>
      <c r="O30" s="73">
        <v>2052630</v>
      </c>
      <c r="P30" s="24"/>
      <c r="Q30" s="74" t="s">
        <v>337</v>
      </c>
      <c r="R30" s="25"/>
      <c r="S30" s="44"/>
      <c r="T30" s="59"/>
      <c r="W30" s="59"/>
      <c r="X30" s="59"/>
      <c r="Y30" s="59"/>
      <c r="Z30" s="59"/>
      <c r="AA30" s="59"/>
      <c r="AB30" s="59"/>
      <c r="AC30" s="59"/>
      <c r="AD30" s="59"/>
    </row>
    <row r="31" spans="2:30" ht="15.75" customHeight="1">
      <c r="B31" s="55"/>
      <c r="C31" s="55"/>
      <c r="D31" s="25"/>
      <c r="E31" s="48" t="s">
        <v>11</v>
      </c>
      <c r="F31" s="71"/>
      <c r="G31" s="48" t="s">
        <v>11</v>
      </c>
      <c r="H31" s="25"/>
      <c r="I31" s="48" t="s">
        <v>11</v>
      </c>
      <c r="J31" s="25"/>
      <c r="K31" s="48" t="s">
        <v>11</v>
      </c>
      <c r="L31" s="25"/>
      <c r="M31" s="48" t="s">
        <v>11</v>
      </c>
      <c r="N31" s="48"/>
      <c r="O31" s="48"/>
      <c r="P31" s="24"/>
      <c r="Q31" s="24"/>
      <c r="R31" s="25"/>
      <c r="S31" s="44"/>
      <c r="T31" s="59"/>
      <c r="W31" s="59"/>
      <c r="X31" s="59"/>
      <c r="Y31" s="59"/>
      <c r="Z31" s="59"/>
      <c r="AA31" s="59"/>
      <c r="AB31" s="59"/>
      <c r="AC31" s="59"/>
      <c r="AD31" s="59"/>
    </row>
    <row r="32" spans="2:30" ht="30" customHeight="1">
      <c r="B32" s="55"/>
      <c r="C32" s="55"/>
      <c r="D32" s="25"/>
      <c r="E32" s="207">
        <f>IF(OR(E28="",E30=""),E28+E30,IFERROR(AVERAGE(E28,E30),""))</f>
        <v>0</v>
      </c>
      <c r="F32" s="71"/>
      <c r="G32" s="207">
        <f>IF(OR(G28="",G30=""),G28+G30,IFERROR(AVERAGE(G28,G30),""))</f>
        <v>0</v>
      </c>
      <c r="H32" s="25"/>
      <c r="I32" s="207">
        <f>IF(OR(I28="",I30=""),I28+I30,IFERROR(AVERAGE(I28,I30),""))</f>
        <v>0</v>
      </c>
      <c r="J32" s="25"/>
      <c r="K32" s="207">
        <f>IF(OR(K28="",K30=""),K28+K30,IFERROR(AVERAGE(K28,K30),""))</f>
        <v>0</v>
      </c>
      <c r="L32" s="71"/>
      <c r="M32" s="207">
        <f>IF(OR(M28="",M30=""),M28+M30,IFERROR(AVERAGE(M28,M30),""))</f>
        <v>2394735</v>
      </c>
      <c r="N32" s="72"/>
      <c r="O32" s="207">
        <f>IF(OR(O28="",O30=""),O28+O30,IFERROR(AVERAGE(O28,O30),""))</f>
        <v>2394735</v>
      </c>
      <c r="P32" s="24"/>
      <c r="Q32" s="24"/>
      <c r="R32" s="25"/>
      <c r="S32" s="44"/>
      <c r="T32" s="59"/>
      <c r="W32" s="59"/>
      <c r="X32" s="59"/>
      <c r="Y32" s="59"/>
      <c r="Z32" s="59"/>
      <c r="AA32" s="59"/>
      <c r="AB32" s="59"/>
      <c r="AC32" s="59"/>
      <c r="AD32" s="59"/>
    </row>
    <row r="33" spans="2:30" ht="30" customHeight="1">
      <c r="B33" s="55"/>
      <c r="C33" s="55"/>
      <c r="D33" s="25"/>
      <c r="E33" s="48" t="s">
        <v>12</v>
      </c>
      <c r="F33" s="25"/>
      <c r="G33" s="48" t="s">
        <v>12</v>
      </c>
      <c r="H33" s="25"/>
      <c r="I33" s="48" t="s">
        <v>12</v>
      </c>
      <c r="J33" s="25"/>
      <c r="K33" s="48" t="s">
        <v>12</v>
      </c>
      <c r="L33" s="25"/>
      <c r="M33" s="48" t="s">
        <v>12</v>
      </c>
      <c r="N33" s="48"/>
      <c r="O33" s="48" t="s">
        <v>12</v>
      </c>
      <c r="P33" s="24"/>
      <c r="Q33" s="24"/>
      <c r="R33" s="25"/>
      <c r="S33" s="44"/>
      <c r="T33" s="59"/>
      <c r="W33" s="59"/>
      <c r="X33" s="59"/>
      <c r="Y33" s="59"/>
      <c r="Z33" s="59"/>
      <c r="AA33" s="59"/>
      <c r="AB33" s="59"/>
      <c r="AC33" s="59"/>
      <c r="AD33" s="59"/>
    </row>
    <row r="34" spans="2:30" ht="15.75" customHeight="1">
      <c r="B34" s="55"/>
      <c r="C34" s="55"/>
      <c r="D34" s="25"/>
      <c r="E34" s="48"/>
      <c r="F34" s="25"/>
      <c r="G34" s="48"/>
      <c r="H34" s="25"/>
      <c r="I34" s="48"/>
      <c r="J34" s="25"/>
      <c r="K34" s="48"/>
      <c r="L34" s="25"/>
      <c r="M34" s="48"/>
      <c r="N34" s="48"/>
      <c r="O34" s="48"/>
      <c r="P34" s="24"/>
      <c r="Q34" s="24"/>
      <c r="R34" s="25"/>
      <c r="S34" s="44"/>
      <c r="T34" s="59"/>
      <c r="W34" s="59"/>
      <c r="X34" s="59"/>
      <c r="Y34" s="59"/>
      <c r="Z34" s="59"/>
      <c r="AA34" s="59"/>
      <c r="AB34" s="59"/>
      <c r="AC34" s="59"/>
      <c r="AD34" s="59"/>
    </row>
    <row r="35" spans="2:30" ht="60" customHeight="1">
      <c r="B35" s="65"/>
      <c r="C35" s="66"/>
      <c r="D35" s="66"/>
      <c r="E35" s="67" t="str">
        <f>_xlfn.IFNA(VLOOKUP(D36,$U$64:AF78,3,0),"")</f>
        <v>Resource exp. for current process (amount of material)</v>
      </c>
      <c r="F35" s="68" t="str">
        <f>_xlfn.IFNA(VLOOKUP(D36,$U$64:AF78,4,0),"")</f>
        <v>x</v>
      </c>
      <c r="G35" s="67" t="str">
        <f>_xlfn.IFNA(VLOOKUP(D36,$U$64:AF78,5,0),"")</f>
        <v>Reduction of effort through use cases (in %)</v>
      </c>
      <c r="H35" s="68" t="str">
        <f>_xlfn.IFNA(VLOOKUP(D36,$U$64:AF78,6,0),"")</f>
        <v>x</v>
      </c>
      <c r="I35" s="67" t="str">
        <f>_xlfn.IFNA(VLOOKUP(D36,$U$64:AF78,7,0),"")</f>
        <v>Cost factor 
(e.g., material costs)</v>
      </c>
      <c r="J35" s="68" t="str">
        <f>_xlfn.IFNA(VLOOKUP(D36,$U$64:AF78,8,0),"")</f>
        <v>x</v>
      </c>
      <c r="K35" s="67" t="str">
        <f>_xlfn.IFNA(VLOOKUP(D36,$U$64:AF78,9,0),"")</f>
        <v>Scaling effect 
(e.g., #. of processes  etc.)</v>
      </c>
      <c r="L35" s="68" t="str">
        <f>IF(K35="","","=")</f>
        <v>=</v>
      </c>
      <c r="M35" s="69" t="str">
        <f>IF(L35="","","Total value")</f>
        <v>Total value</v>
      </c>
      <c r="N35" s="218" t="s">
        <v>297</v>
      </c>
      <c r="O35" s="67" t="s">
        <v>313</v>
      </c>
      <c r="P35" s="66"/>
      <c r="Q35" s="69" t="s">
        <v>144</v>
      </c>
      <c r="R35" s="66"/>
      <c r="S35" s="44"/>
      <c r="T35" s="94"/>
      <c r="W35" s="226"/>
      <c r="X35" s="226"/>
      <c r="Y35" s="226"/>
      <c r="Z35" s="226"/>
      <c r="AA35" s="226"/>
      <c r="AB35" s="226"/>
      <c r="AC35" s="226"/>
      <c r="AD35" s="226"/>
    </row>
    <row r="36" spans="2:30" ht="30" customHeight="1">
      <c r="B36" s="311" t="s">
        <v>13</v>
      </c>
      <c r="C36" s="311"/>
      <c r="D36" s="70">
        <f>_xlfn.IFNA(VLOOKUP(B36,$T$65:$AD$70,2,0),"")</f>
        <v>2</v>
      </c>
      <c r="E36" s="73"/>
      <c r="F36" s="71"/>
      <c r="G36" s="73"/>
      <c r="H36" s="71"/>
      <c r="I36" s="73"/>
      <c r="J36" s="71"/>
      <c r="K36" s="73"/>
      <c r="L36" s="71"/>
      <c r="M36" s="207">
        <f>IF(AND(E36="",G36="",I36="",K36=""),O36,E36*G36*I36*K36)</f>
        <v>905000</v>
      </c>
      <c r="N36" s="72"/>
      <c r="O36" s="73">
        <v>905000</v>
      </c>
      <c r="P36" s="24"/>
      <c r="Q36" s="74" t="s">
        <v>337</v>
      </c>
      <c r="R36" s="25"/>
      <c r="S36" s="44"/>
      <c r="T36" s="59"/>
      <c r="W36" s="59"/>
      <c r="X36" s="59"/>
      <c r="Y36" s="59"/>
      <c r="Z36" s="59"/>
      <c r="AA36" s="59"/>
      <c r="AB36" s="59"/>
      <c r="AC36" s="59"/>
      <c r="AD36" s="59"/>
    </row>
    <row r="37" spans="2:30" ht="15.75" customHeight="1">
      <c r="B37" s="310" t="s">
        <v>243</v>
      </c>
      <c r="C37" s="310"/>
      <c r="D37" s="25"/>
      <c r="E37" s="204" t="s">
        <v>10</v>
      </c>
      <c r="F37" s="25"/>
      <c r="G37" s="204" t="s">
        <v>10</v>
      </c>
      <c r="H37" s="25"/>
      <c r="I37" s="204" t="s">
        <v>10</v>
      </c>
      <c r="J37" s="25"/>
      <c r="K37" s="204" t="s">
        <v>10</v>
      </c>
      <c r="L37" s="25"/>
      <c r="M37" s="204" t="s">
        <v>10</v>
      </c>
      <c r="N37" s="204"/>
      <c r="O37" s="204"/>
      <c r="P37" s="24"/>
      <c r="Q37" s="24"/>
      <c r="R37" s="25"/>
      <c r="S37" s="44"/>
      <c r="T37" s="59"/>
      <c r="W37" s="59"/>
      <c r="X37" s="59"/>
      <c r="Y37" s="59"/>
      <c r="Z37" s="59"/>
      <c r="AA37" s="59"/>
      <c r="AB37" s="59"/>
      <c r="AC37" s="59"/>
      <c r="AD37" s="59"/>
    </row>
    <row r="38" spans="2:30" ht="30" customHeight="1">
      <c r="B38" s="55"/>
      <c r="C38" s="55"/>
      <c r="D38" s="25"/>
      <c r="E38" s="73"/>
      <c r="F38" s="71"/>
      <c r="G38" s="73"/>
      <c r="H38" s="25"/>
      <c r="I38" s="73"/>
      <c r="J38" s="25"/>
      <c r="K38" s="73"/>
      <c r="L38" s="71"/>
      <c r="M38" s="207">
        <f>IF(AND(E38="",G38="",I38="",K38=""),O38,E38*G38*I38*K38)</f>
        <v>452500</v>
      </c>
      <c r="N38" s="72"/>
      <c r="O38" s="73">
        <v>452500</v>
      </c>
      <c r="P38" s="24"/>
      <c r="Q38" s="74" t="s">
        <v>337</v>
      </c>
      <c r="R38" s="25"/>
      <c r="S38" s="44"/>
      <c r="T38" s="59"/>
      <c r="W38" s="59"/>
      <c r="X38" s="59"/>
      <c r="Y38" s="59"/>
      <c r="Z38" s="59"/>
      <c r="AA38" s="59"/>
      <c r="AB38" s="59"/>
      <c r="AC38" s="59"/>
      <c r="AD38" s="59"/>
    </row>
    <row r="39" spans="2:30" ht="15.75" customHeight="1">
      <c r="B39" s="55"/>
      <c r="C39" s="55"/>
      <c r="D39" s="25"/>
      <c r="E39" s="204" t="s">
        <v>11</v>
      </c>
      <c r="F39" s="71"/>
      <c r="G39" s="204" t="s">
        <v>11</v>
      </c>
      <c r="H39" s="25"/>
      <c r="I39" s="204" t="s">
        <v>11</v>
      </c>
      <c r="J39" s="25"/>
      <c r="K39" s="204" t="s">
        <v>11</v>
      </c>
      <c r="L39" s="25"/>
      <c r="M39" s="204" t="s">
        <v>11</v>
      </c>
      <c r="N39" s="204"/>
      <c r="O39" s="204"/>
      <c r="P39" s="24"/>
      <c r="Q39" s="24"/>
      <c r="R39" s="25"/>
      <c r="S39" s="44"/>
      <c r="T39" s="59"/>
      <c r="W39" s="59"/>
      <c r="X39" s="59"/>
      <c r="Y39" s="59"/>
      <c r="Z39" s="59"/>
      <c r="AA39" s="59"/>
      <c r="AB39" s="59"/>
      <c r="AC39" s="59"/>
      <c r="AD39" s="59"/>
    </row>
    <row r="40" spans="2:30" ht="30" customHeight="1">
      <c r="B40" s="55"/>
      <c r="C40" s="55"/>
      <c r="D40" s="25"/>
      <c r="E40" s="207">
        <f>IF(OR(E36="",E38=""),E36+E38,IFERROR(AVERAGE(E36,E38),""))</f>
        <v>0</v>
      </c>
      <c r="F40" s="71"/>
      <c r="G40" s="207">
        <f>IF(OR(G36="",G38=""),G36+G38,IFERROR(AVERAGE(G36,G38),""))</f>
        <v>0</v>
      </c>
      <c r="H40" s="25"/>
      <c r="I40" s="207">
        <f>IF(OR(I36="",I38=""),I36+I38,IFERROR(AVERAGE(I36,I38),""))</f>
        <v>0</v>
      </c>
      <c r="J40" s="25"/>
      <c r="K40" s="207">
        <f>IF(OR(K36="",K38=""),K36+K38,IFERROR(AVERAGE(K36,K38),""))</f>
        <v>0</v>
      </c>
      <c r="L40" s="71"/>
      <c r="M40" s="207">
        <f>IF(OR(M36="",M38=""),M36+M38,IFERROR(AVERAGE(M36,M38),""))</f>
        <v>678750</v>
      </c>
      <c r="N40" s="72"/>
      <c r="O40" s="207">
        <f>IF(OR(O36="",O38=""),O36+O38,IFERROR(AVERAGE(O36,O38),""))</f>
        <v>678750</v>
      </c>
      <c r="P40" s="24"/>
      <c r="Q40" s="24"/>
      <c r="R40" s="25"/>
      <c r="S40" s="44"/>
      <c r="T40" s="59"/>
      <c r="W40" s="59"/>
      <c r="X40" s="59"/>
      <c r="Y40" s="59"/>
      <c r="Z40" s="59"/>
      <c r="AA40" s="59"/>
      <c r="AB40" s="59"/>
      <c r="AC40" s="59"/>
      <c r="AD40" s="59"/>
    </row>
    <row r="41" spans="2:30" ht="30" customHeight="1">
      <c r="B41" s="55"/>
      <c r="C41" s="55"/>
      <c r="D41" s="25"/>
      <c r="E41" s="204" t="s">
        <v>12</v>
      </c>
      <c r="F41" s="25"/>
      <c r="G41" s="204" t="s">
        <v>12</v>
      </c>
      <c r="H41" s="25"/>
      <c r="I41" s="204" t="s">
        <v>12</v>
      </c>
      <c r="J41" s="25"/>
      <c r="K41" s="204" t="s">
        <v>12</v>
      </c>
      <c r="L41" s="25"/>
      <c r="M41" s="204" t="s">
        <v>12</v>
      </c>
      <c r="N41" s="204"/>
      <c r="O41" s="204" t="s">
        <v>12</v>
      </c>
      <c r="P41" s="24"/>
      <c r="Q41" s="24"/>
      <c r="R41" s="25"/>
      <c r="S41" s="44"/>
      <c r="T41" s="59"/>
      <c r="W41" s="59"/>
      <c r="X41" s="59"/>
      <c r="Y41" s="59"/>
      <c r="Z41" s="59"/>
      <c r="AA41" s="59"/>
      <c r="AB41" s="59"/>
      <c r="AC41" s="59"/>
      <c r="AD41" s="59"/>
    </row>
    <row r="42" spans="2:30" ht="60" customHeight="1">
      <c r="B42" s="63" t="s">
        <v>139</v>
      </c>
      <c r="C42" s="66"/>
      <c r="D42" s="66"/>
      <c r="E42" s="75"/>
      <c r="F42" s="76"/>
      <c r="G42" s="75"/>
      <c r="H42" s="76"/>
      <c r="I42" s="75"/>
      <c r="J42" s="76"/>
      <c r="K42" s="75"/>
      <c r="L42" s="76"/>
      <c r="M42" s="77"/>
      <c r="N42" s="77"/>
      <c r="O42" s="77"/>
      <c r="P42" s="66"/>
      <c r="Q42" s="66"/>
      <c r="R42" s="66"/>
      <c r="S42" s="44"/>
      <c r="T42" s="94"/>
      <c r="W42" s="226"/>
      <c r="X42" s="226"/>
      <c r="Y42" s="226"/>
      <c r="Z42" s="226"/>
      <c r="AA42" s="226"/>
      <c r="AB42" s="226"/>
      <c r="AC42" s="226"/>
      <c r="AD42" s="226"/>
    </row>
    <row r="43" spans="2:30" ht="60" customHeight="1">
      <c r="B43" s="54"/>
      <c r="C43" s="66"/>
      <c r="D43" s="66"/>
      <c r="E43" s="67" t="str">
        <f>_xlfn.IFNA(VLOOKUP(D44,$U$64:AF86,3,0),"")</f>
        <v>Current volume (in units)</v>
      </c>
      <c r="F43" s="68" t="str">
        <f>_xlfn.IFNA(VLOOKUP(D44,$U$64:AF86,4,0),"")</f>
        <v>x</v>
      </c>
      <c r="G43" s="67" t="str">
        <f>_xlfn.IFNA(VLOOKUP(D44,$U$64:AF86,5,0),"")</f>
        <v xml:space="preserve">Margin before 
use case / unit (in €) </v>
      </c>
      <c r="H43" s="68" t="str">
        <f>_xlfn.IFNA(VLOOKUP(D44,$U$64:AF86,6,0),"")</f>
        <v>x</v>
      </c>
      <c r="I43" s="67" t="str">
        <f>_xlfn.IFNA(VLOOKUP(D44,$U$64:AF86,7,0),"")</f>
        <v xml:space="preserve">Margin increase achieved through improvement _x000D_
(in %) </v>
      </c>
      <c r="J43" s="68" t="str">
        <f>_xlfn.IFNA(VLOOKUP(D44,$U$64:AF86,8,0),"")</f>
        <v>x</v>
      </c>
      <c r="K43" s="67" t="str">
        <f>_xlfn.IFNA(VLOOKUP(D44,$U$64:AF86,9,0),"")</f>
        <v>Scaling effect (e.g., additional products etc.)</v>
      </c>
      <c r="L43" s="68" t="str">
        <f>IF(K43="","","=")</f>
        <v>=</v>
      </c>
      <c r="M43" s="69" t="str">
        <f>IF(L43="","","Total value")</f>
        <v>Total value</v>
      </c>
      <c r="N43" s="218" t="s">
        <v>297</v>
      </c>
      <c r="O43" s="67" t="s">
        <v>313</v>
      </c>
      <c r="P43" s="66"/>
      <c r="Q43" s="69" t="s">
        <v>144</v>
      </c>
      <c r="R43" s="66"/>
      <c r="S43" s="44"/>
      <c r="T43" s="94"/>
      <c r="W43" s="226"/>
      <c r="X43" s="226"/>
      <c r="Y43" s="226"/>
      <c r="Z43" s="226"/>
      <c r="AA43" s="226"/>
      <c r="AB43" s="226"/>
      <c r="AC43" s="226"/>
      <c r="AD43" s="226"/>
    </row>
    <row r="44" spans="2:30" ht="30" customHeight="1">
      <c r="B44" s="311" t="s">
        <v>17</v>
      </c>
      <c r="C44" s="311"/>
      <c r="D44" s="78">
        <f>_xlfn.IFNA(VLOOKUP(B44,$T$71:$AD$76,2,0),"")</f>
        <v>8</v>
      </c>
      <c r="E44" s="73"/>
      <c r="F44" s="71"/>
      <c r="G44" s="73"/>
      <c r="H44" s="71"/>
      <c r="I44" s="73"/>
      <c r="J44" s="71"/>
      <c r="K44" s="73"/>
      <c r="L44" s="71"/>
      <c r="M44" s="207">
        <f>IF(AND(E44="",G44="",I44="",K44=""),O44,IF(OR(D44=6,D44=7),(E44+G44)*I44*K44,E44*G44*I44*K44))</f>
        <v>1368420</v>
      </c>
      <c r="N44" s="72"/>
      <c r="O44" s="73">
        <v>1368420</v>
      </c>
      <c r="P44" s="24"/>
      <c r="Q44" s="74" t="s">
        <v>337</v>
      </c>
      <c r="R44" s="25"/>
      <c r="S44" s="44"/>
      <c r="T44" s="59"/>
      <c r="W44" s="59"/>
      <c r="X44" s="59"/>
      <c r="Y44" s="59"/>
      <c r="Z44" s="59"/>
      <c r="AA44" s="59"/>
      <c r="AB44" s="59"/>
      <c r="AC44" s="59"/>
      <c r="AD44" s="59"/>
    </row>
    <row r="45" spans="2:30" ht="15.75" customHeight="1">
      <c r="B45" s="310" t="s">
        <v>242</v>
      </c>
      <c r="C45" s="310"/>
      <c r="D45" s="25"/>
      <c r="E45" s="204" t="s">
        <v>10</v>
      </c>
      <c r="F45" s="25"/>
      <c r="G45" s="204" t="s">
        <v>10</v>
      </c>
      <c r="H45" s="25"/>
      <c r="I45" s="204" t="s">
        <v>10</v>
      </c>
      <c r="J45" s="25"/>
      <c r="K45" s="204" t="s">
        <v>10</v>
      </c>
      <c r="L45" s="25"/>
      <c r="M45" s="204" t="s">
        <v>10</v>
      </c>
      <c r="N45" s="204"/>
      <c r="O45" s="204"/>
      <c r="P45" s="24"/>
      <c r="Q45" s="24"/>
      <c r="R45" s="25"/>
      <c r="S45" s="44"/>
      <c r="T45" s="59"/>
      <c r="W45" s="59"/>
      <c r="X45" s="59"/>
      <c r="Y45" s="59"/>
      <c r="Z45" s="59"/>
      <c r="AA45" s="59"/>
      <c r="AB45" s="59"/>
      <c r="AC45" s="59"/>
      <c r="AD45" s="59"/>
    </row>
    <row r="46" spans="2:30" ht="30" customHeight="1">
      <c r="B46" s="55"/>
      <c r="C46" s="55"/>
      <c r="D46" s="25"/>
      <c r="E46" s="73"/>
      <c r="F46" s="71"/>
      <c r="G46" s="73"/>
      <c r="H46" s="25"/>
      <c r="I46" s="73"/>
      <c r="J46" s="25"/>
      <c r="K46" s="73"/>
      <c r="L46" s="71"/>
      <c r="M46" s="207">
        <f>IF(AND(E46="",G46="",I46="",K46=""),O46,IF(OR(D44=6,D44=7),(E46+G46)*I46*K46,E46*G46*I46*K46))</f>
        <v>684210</v>
      </c>
      <c r="N46" s="72"/>
      <c r="O46" s="73">
        <v>684210</v>
      </c>
      <c r="P46" s="24"/>
      <c r="Q46" s="74" t="s">
        <v>337</v>
      </c>
      <c r="R46" s="25"/>
      <c r="S46" s="44"/>
      <c r="T46" s="59"/>
      <c r="W46" s="59"/>
      <c r="X46" s="59"/>
      <c r="Y46" s="59"/>
      <c r="Z46" s="59"/>
      <c r="AA46" s="59"/>
      <c r="AB46" s="59"/>
      <c r="AC46" s="59"/>
      <c r="AD46" s="59"/>
    </row>
    <row r="47" spans="2:30" ht="15.75" customHeight="1">
      <c r="B47" s="55"/>
      <c r="C47" s="55"/>
      <c r="D47" s="25"/>
      <c r="E47" s="204" t="s">
        <v>11</v>
      </c>
      <c r="F47" s="71"/>
      <c r="G47" s="204" t="s">
        <v>11</v>
      </c>
      <c r="H47" s="25"/>
      <c r="I47" s="204" t="s">
        <v>11</v>
      </c>
      <c r="J47" s="25"/>
      <c r="K47" s="204" t="s">
        <v>11</v>
      </c>
      <c r="L47" s="25"/>
      <c r="M47" s="204" t="s">
        <v>11</v>
      </c>
      <c r="N47" s="204"/>
      <c r="O47" s="204"/>
      <c r="P47" s="24"/>
      <c r="Q47" s="24"/>
      <c r="R47" s="25"/>
      <c r="S47" s="44"/>
      <c r="T47" s="59"/>
      <c r="W47" s="59"/>
      <c r="X47" s="59"/>
      <c r="Y47" s="59"/>
      <c r="Z47" s="59"/>
      <c r="AA47" s="59"/>
      <c r="AB47" s="59"/>
      <c r="AC47" s="59"/>
      <c r="AD47" s="59"/>
    </row>
    <row r="48" spans="2:30" ht="30" customHeight="1">
      <c r="B48" s="55"/>
      <c r="C48" s="55"/>
      <c r="D48" s="25"/>
      <c r="E48" s="207">
        <f>IF(OR(E44="",E46=""),E44+E46,IFERROR(AVERAGE(E44,E46),""))</f>
        <v>0</v>
      </c>
      <c r="F48" s="71"/>
      <c r="G48" s="207">
        <f>IF(OR(G44="",G46=""),G44+G46,IFERROR(AVERAGE(G44,G46),""))</f>
        <v>0</v>
      </c>
      <c r="H48" s="25"/>
      <c r="I48" s="207">
        <f>IF(OR(I44="",I46=""),I44+I46,IFERROR(AVERAGE(I44,I46),""))</f>
        <v>0</v>
      </c>
      <c r="J48" s="25"/>
      <c r="K48" s="207">
        <f>IF(OR(K44="",K46=""),K44+K46,IFERROR(AVERAGE(K44,K46),""))</f>
        <v>0</v>
      </c>
      <c r="L48" s="71"/>
      <c r="M48" s="207">
        <f>IF(OR(M44="",M46=""),M44+M46,IFERROR(AVERAGE(M44,M46),""))</f>
        <v>1026315</v>
      </c>
      <c r="N48" s="72"/>
      <c r="O48" s="207">
        <f>IF(OR(O44="",O46=""),O44+O46,IFERROR(AVERAGE(O44,O46),""))</f>
        <v>1026315</v>
      </c>
      <c r="P48" s="24"/>
      <c r="Q48" s="24"/>
      <c r="R48" s="25"/>
      <c r="S48" s="44"/>
      <c r="T48" s="59"/>
      <c r="W48" s="59"/>
      <c r="X48" s="59"/>
      <c r="Y48" s="59"/>
      <c r="Z48" s="59"/>
      <c r="AA48" s="59"/>
      <c r="AB48" s="59"/>
      <c r="AC48" s="59"/>
      <c r="AD48" s="59"/>
    </row>
    <row r="49" spans="2:30" ht="30" customHeight="1">
      <c r="B49" s="55"/>
      <c r="C49" s="55"/>
      <c r="D49" s="25"/>
      <c r="E49" s="204" t="s">
        <v>12</v>
      </c>
      <c r="F49" s="25"/>
      <c r="G49" s="204" t="s">
        <v>12</v>
      </c>
      <c r="H49" s="25"/>
      <c r="I49" s="204" t="s">
        <v>12</v>
      </c>
      <c r="J49" s="25"/>
      <c r="K49" s="204" t="s">
        <v>12</v>
      </c>
      <c r="L49" s="25"/>
      <c r="M49" s="204" t="s">
        <v>12</v>
      </c>
      <c r="N49" s="204"/>
      <c r="O49" s="204" t="s">
        <v>12</v>
      </c>
      <c r="P49" s="24"/>
      <c r="Q49" s="24"/>
      <c r="R49" s="25"/>
      <c r="S49" s="44"/>
      <c r="T49" s="59"/>
      <c r="W49" s="59"/>
      <c r="X49" s="59"/>
      <c r="Y49" s="59"/>
      <c r="Z49" s="59"/>
      <c r="AA49" s="59"/>
      <c r="AB49" s="59"/>
      <c r="AC49" s="59"/>
      <c r="AD49" s="59"/>
    </row>
    <row r="50" spans="2:30" ht="15.75" customHeight="1">
      <c r="B50" s="55"/>
      <c r="C50" s="55"/>
      <c r="D50" s="25"/>
      <c r="E50" s="48"/>
      <c r="F50" s="25"/>
      <c r="G50" s="48"/>
      <c r="H50" s="25"/>
      <c r="I50" s="48"/>
      <c r="J50" s="25"/>
      <c r="K50" s="48"/>
      <c r="L50" s="25"/>
      <c r="M50" s="48"/>
      <c r="N50" s="48"/>
      <c r="O50" s="48"/>
      <c r="P50" s="24"/>
      <c r="Q50" s="24"/>
      <c r="R50" s="25"/>
      <c r="S50" s="44"/>
      <c r="T50" s="59"/>
      <c r="W50" s="59"/>
      <c r="X50" s="59"/>
      <c r="Y50" s="59"/>
      <c r="Z50" s="59"/>
      <c r="AA50" s="59"/>
      <c r="AB50" s="59"/>
      <c r="AC50" s="59"/>
      <c r="AD50" s="59"/>
    </row>
    <row r="51" spans="2:30" ht="60" customHeight="1">
      <c r="B51" s="65"/>
      <c r="C51" s="66"/>
      <c r="D51" s="66"/>
      <c r="E51" s="67" t="str">
        <f>_xlfn.IFNA(VLOOKUP(D52,$U$64:AF94,3,0),"")</f>
        <v/>
      </c>
      <c r="F51" s="68" t="str">
        <f>_xlfn.IFNA(VLOOKUP(D52,$U$64:AF94,4,0),"")</f>
        <v/>
      </c>
      <c r="G51" s="67" t="str">
        <f>_xlfn.IFNA(VLOOKUP(D52,$U$64:AF94,5,0),"")</f>
        <v/>
      </c>
      <c r="H51" s="68" t="str">
        <f>_xlfn.IFNA(VLOOKUP(D52,$U$64:AF94,6,0),"")</f>
        <v/>
      </c>
      <c r="I51" s="67" t="str">
        <f>_xlfn.IFNA(VLOOKUP(D52,$U$64:AF94,7,0),"")</f>
        <v/>
      </c>
      <c r="J51" s="68" t="str">
        <f>_xlfn.IFNA(VLOOKUP(D52,$U$64:AF94,8,0),"")</f>
        <v/>
      </c>
      <c r="K51" s="67" t="str">
        <f>_xlfn.IFNA(VLOOKUP(D52,$U$64:AF94,9,0),"")</f>
        <v/>
      </c>
      <c r="L51" s="68" t="str">
        <f>IF(K51="","","=")</f>
        <v/>
      </c>
      <c r="M51" s="69" t="str">
        <f>IF(L51="","","Total value")</f>
        <v/>
      </c>
      <c r="N51" s="218" t="s">
        <v>297</v>
      </c>
      <c r="O51" s="67" t="s">
        <v>314</v>
      </c>
      <c r="P51" s="66"/>
      <c r="Q51" s="69" t="s">
        <v>144</v>
      </c>
      <c r="R51" s="66"/>
      <c r="S51" s="44"/>
      <c r="T51" s="94"/>
      <c r="W51" s="226"/>
      <c r="X51" s="226"/>
      <c r="Y51" s="226"/>
      <c r="Z51" s="226"/>
      <c r="AA51" s="226"/>
      <c r="AB51" s="226"/>
      <c r="AC51" s="226"/>
      <c r="AD51" s="226"/>
    </row>
    <row r="52" spans="2:30" ht="30" customHeight="1">
      <c r="B52" s="311" t="s">
        <v>143</v>
      </c>
      <c r="C52" s="311"/>
      <c r="D52" s="70">
        <f>_xlfn.IFNA(VLOOKUP(B52,$T$71:$AD$76,2,0),"")</f>
        <v>0</v>
      </c>
      <c r="E52" s="73"/>
      <c r="F52" s="71"/>
      <c r="G52" s="73"/>
      <c r="H52" s="71"/>
      <c r="I52" s="73"/>
      <c r="J52" s="71"/>
      <c r="K52" s="73"/>
      <c r="L52" s="71"/>
      <c r="M52" s="207">
        <f>IF(AND(E52="",G52="",I52="",K52=""),O52,IF(OR(D52=6,D52=7),(E52+G52)*I52*K52,E52*G52*I52*K52))</f>
        <v>0</v>
      </c>
      <c r="N52" s="72"/>
      <c r="O52" s="73"/>
      <c r="P52" s="24"/>
      <c r="Q52" s="74" t="s">
        <v>337</v>
      </c>
      <c r="R52" s="25"/>
      <c r="S52" s="44"/>
      <c r="T52" s="59"/>
      <c r="W52" s="59"/>
      <c r="X52" s="59"/>
      <c r="Y52" s="59"/>
      <c r="Z52" s="59"/>
      <c r="AA52" s="59"/>
      <c r="AB52" s="59"/>
      <c r="AC52" s="59"/>
      <c r="AD52" s="59"/>
    </row>
    <row r="53" spans="2:30" ht="15.75" customHeight="1">
      <c r="B53" s="310" t="s">
        <v>243</v>
      </c>
      <c r="C53" s="310"/>
      <c r="D53" s="25"/>
      <c r="E53" s="204" t="s">
        <v>10</v>
      </c>
      <c r="F53" s="25"/>
      <c r="G53" s="204" t="s">
        <v>10</v>
      </c>
      <c r="H53" s="25"/>
      <c r="I53" s="204" t="s">
        <v>10</v>
      </c>
      <c r="J53" s="25"/>
      <c r="K53" s="204" t="s">
        <v>10</v>
      </c>
      <c r="L53" s="25"/>
      <c r="M53" s="204" t="s">
        <v>10</v>
      </c>
      <c r="N53" s="204"/>
      <c r="O53" s="204"/>
      <c r="P53" s="24"/>
      <c r="Q53" s="24"/>
      <c r="R53" s="25"/>
      <c r="S53" s="44"/>
      <c r="T53" s="59"/>
      <c r="W53" s="59"/>
      <c r="X53" s="59"/>
      <c r="Y53" s="59"/>
      <c r="Z53" s="59"/>
      <c r="AA53" s="59"/>
      <c r="AB53" s="59"/>
      <c r="AC53" s="59"/>
      <c r="AD53" s="59"/>
    </row>
    <row r="54" spans="2:30" ht="30" customHeight="1">
      <c r="B54" s="55"/>
      <c r="C54" s="55"/>
      <c r="D54" s="25"/>
      <c r="E54" s="73"/>
      <c r="F54" s="71"/>
      <c r="G54" s="73"/>
      <c r="H54" s="25"/>
      <c r="I54" s="73"/>
      <c r="J54" s="25"/>
      <c r="K54" s="73"/>
      <c r="L54" s="71"/>
      <c r="M54" s="207">
        <f>IF(AND(E54="",G54="",I54="",K54=""),O54,IF(OR(D52=6,D52=7),(E54+G54)*I54*K54,E54*G54*I54*K54))</f>
        <v>0</v>
      </c>
      <c r="N54" s="72"/>
      <c r="O54" s="73"/>
      <c r="P54" s="24"/>
      <c r="Q54" s="74" t="s">
        <v>337</v>
      </c>
      <c r="R54" s="25"/>
      <c r="S54" s="44"/>
      <c r="T54" s="59"/>
      <c r="W54" s="59"/>
      <c r="X54" s="59"/>
      <c r="Y54" s="59"/>
      <c r="Z54" s="59"/>
      <c r="AA54" s="59"/>
      <c r="AB54" s="59"/>
      <c r="AC54" s="59"/>
      <c r="AD54" s="59"/>
    </row>
    <row r="55" spans="2:30" ht="15.75" customHeight="1">
      <c r="B55" s="55"/>
      <c r="C55" s="55"/>
      <c r="D55" s="25"/>
      <c r="E55" s="204" t="s">
        <v>11</v>
      </c>
      <c r="F55" s="71"/>
      <c r="G55" s="204" t="s">
        <v>11</v>
      </c>
      <c r="H55" s="25"/>
      <c r="I55" s="204" t="s">
        <v>11</v>
      </c>
      <c r="J55" s="25"/>
      <c r="K55" s="204" t="s">
        <v>11</v>
      </c>
      <c r="L55" s="25"/>
      <c r="M55" s="204" t="s">
        <v>11</v>
      </c>
      <c r="N55" s="204"/>
      <c r="O55" s="204"/>
      <c r="P55" s="24"/>
      <c r="Q55" s="24"/>
      <c r="R55" s="25"/>
      <c r="S55" s="44"/>
      <c r="T55" s="59"/>
      <c r="W55" s="59"/>
      <c r="X55" s="59"/>
      <c r="Y55" s="59"/>
      <c r="Z55" s="59"/>
      <c r="AA55" s="59"/>
      <c r="AB55" s="59"/>
      <c r="AC55" s="59"/>
      <c r="AD55" s="59"/>
    </row>
    <row r="56" spans="2:30" ht="30" customHeight="1">
      <c r="B56" s="55"/>
      <c r="C56" s="55"/>
      <c r="D56" s="25"/>
      <c r="E56" s="207">
        <f>IF(OR(E52="",E54=""),E52+E54,IFERROR(AVERAGE(E52,E54),""))</f>
        <v>0</v>
      </c>
      <c r="F56" s="71"/>
      <c r="G56" s="207">
        <f>IF(OR(G52="",G54=""),G52+G54,IFERROR(AVERAGE(G52,G54),""))</f>
        <v>0</v>
      </c>
      <c r="H56" s="25"/>
      <c r="I56" s="207">
        <f>IF(OR(I52="",I54=""),I52+I54,IFERROR(AVERAGE(I52,I54),""))</f>
        <v>0</v>
      </c>
      <c r="J56" s="25"/>
      <c r="K56" s="207">
        <f>IF(OR(K52="",K54=""),K52+K54,IFERROR(AVERAGE(K52,K54),""))</f>
        <v>0</v>
      </c>
      <c r="L56" s="71"/>
      <c r="M56" s="207">
        <f>IF(OR(M52="",M54=""),M52+M54,IFERROR(AVERAGE(M52,M54),""))</f>
        <v>0</v>
      </c>
      <c r="N56" s="72"/>
      <c r="O56" s="207">
        <f>IF(OR(O52="",O54=""),O52+O54,IFERROR(AVERAGE(O52,O54),""))</f>
        <v>0</v>
      </c>
      <c r="P56" s="24"/>
      <c r="Q56" s="24"/>
      <c r="R56" s="25"/>
      <c r="S56" s="44"/>
      <c r="T56" s="59"/>
      <c r="W56" s="59"/>
      <c r="X56" s="59"/>
      <c r="Y56" s="59"/>
      <c r="Z56" s="59"/>
      <c r="AA56" s="59"/>
      <c r="AB56" s="59"/>
      <c r="AC56" s="59"/>
      <c r="AD56" s="59"/>
    </row>
    <row r="57" spans="2:30" ht="30" customHeight="1">
      <c r="B57" s="55"/>
      <c r="C57" s="55"/>
      <c r="D57" s="25"/>
      <c r="E57" s="204" t="s">
        <v>12</v>
      </c>
      <c r="F57" s="25"/>
      <c r="G57" s="204" t="s">
        <v>12</v>
      </c>
      <c r="H57" s="25"/>
      <c r="I57" s="204" t="s">
        <v>12</v>
      </c>
      <c r="J57" s="25"/>
      <c r="K57" s="204" t="s">
        <v>12</v>
      </c>
      <c r="L57" s="25"/>
      <c r="M57" s="204" t="s">
        <v>12</v>
      </c>
      <c r="N57" s="204"/>
      <c r="O57" s="204" t="s">
        <v>12</v>
      </c>
      <c r="P57" s="24"/>
      <c r="Q57" s="24"/>
      <c r="R57" s="25"/>
      <c r="S57" s="44"/>
      <c r="T57" s="59"/>
      <c r="W57" s="59"/>
      <c r="X57" s="59"/>
      <c r="Y57" s="59"/>
      <c r="Z57" s="59"/>
      <c r="AA57" s="59"/>
      <c r="AB57" s="59"/>
      <c r="AC57" s="59"/>
      <c r="AD57" s="59"/>
    </row>
    <row r="58" spans="2:30" ht="30" customHeight="1">
      <c r="B58" s="55"/>
      <c r="C58" s="55"/>
      <c r="D58" s="25"/>
      <c r="E58" s="48"/>
      <c r="F58" s="25"/>
      <c r="G58" s="48"/>
      <c r="H58" s="25"/>
      <c r="I58" s="48"/>
      <c r="J58" s="25"/>
      <c r="K58" s="48"/>
      <c r="L58" s="25"/>
      <c r="M58" s="48"/>
      <c r="N58" s="48"/>
      <c r="O58" s="48"/>
      <c r="P58" s="24"/>
      <c r="Q58" s="24"/>
      <c r="R58" s="25"/>
      <c r="S58" s="44"/>
      <c r="T58" s="59"/>
      <c r="W58" s="59"/>
      <c r="X58" s="59"/>
      <c r="Y58" s="59"/>
      <c r="Z58" s="59"/>
      <c r="AA58" s="59"/>
      <c r="AB58" s="59"/>
      <c r="AC58" s="59"/>
      <c r="AD58" s="59"/>
    </row>
    <row r="59" spans="2:30" ht="30" customHeight="1">
      <c r="B59" s="55"/>
      <c r="C59" s="55"/>
      <c r="D59" s="25"/>
      <c r="E59" s="79"/>
      <c r="F59" s="25"/>
      <c r="G59" s="79"/>
      <c r="H59" s="25"/>
      <c r="I59" s="79"/>
      <c r="J59" s="25"/>
      <c r="K59" s="79"/>
      <c r="L59" s="25"/>
      <c r="M59" s="48"/>
      <c r="N59" s="48"/>
      <c r="O59" s="48"/>
      <c r="P59" s="24"/>
      <c r="Q59" s="24"/>
      <c r="R59" s="25"/>
      <c r="S59" s="44"/>
      <c r="T59" s="59"/>
      <c r="W59" s="59"/>
      <c r="X59" s="59"/>
      <c r="Y59" s="59"/>
      <c r="Z59" s="59"/>
      <c r="AA59" s="59"/>
      <c r="AB59" s="59"/>
      <c r="AC59" s="59"/>
      <c r="AD59" s="59"/>
    </row>
    <row r="60" spans="2:30" ht="60" customHeight="1">
      <c r="B60" s="293" t="s">
        <v>42</v>
      </c>
      <c r="C60" s="293"/>
      <c r="D60" s="293"/>
      <c r="E60" s="293"/>
      <c r="F60" s="293"/>
      <c r="G60" s="293"/>
      <c r="H60" s="293"/>
      <c r="I60" s="293"/>
      <c r="J60" s="293"/>
      <c r="K60" s="293"/>
      <c r="L60" s="293"/>
      <c r="M60" s="293"/>
      <c r="N60" s="293"/>
      <c r="O60" s="293"/>
      <c r="P60" s="293"/>
      <c r="Q60" s="293"/>
      <c r="R60" s="293"/>
      <c r="S60" s="44"/>
      <c r="T60" s="94"/>
      <c r="W60" s="226"/>
      <c r="X60" s="226"/>
      <c r="Y60" s="226"/>
      <c r="Z60" s="226"/>
      <c r="AA60" s="226"/>
      <c r="AB60" s="226"/>
      <c r="AC60" s="226"/>
      <c r="AD60" s="226"/>
    </row>
    <row r="61" spans="2:30" ht="22.5" customHeight="1">
      <c r="B61" s="307" t="s">
        <v>110</v>
      </c>
      <c r="C61" s="307"/>
      <c r="D61" s="80"/>
      <c r="E61" s="309" t="s">
        <v>43</v>
      </c>
      <c r="F61" s="309"/>
      <c r="G61" s="309"/>
      <c r="H61" s="309"/>
      <c r="I61" s="309"/>
      <c r="J61" s="81"/>
      <c r="K61" s="81"/>
      <c r="L61" s="81"/>
      <c r="M61" s="82" t="s">
        <v>44</v>
      </c>
      <c r="N61" s="82"/>
      <c r="O61" s="82"/>
      <c r="P61" s="82"/>
      <c r="Q61" s="82"/>
      <c r="R61" s="83"/>
      <c r="S61" s="44"/>
      <c r="T61" s="94"/>
      <c r="W61" s="96"/>
      <c r="X61" s="96"/>
      <c r="Y61" s="96"/>
      <c r="Z61" s="96"/>
      <c r="AA61" s="96"/>
      <c r="AB61" s="96"/>
      <c r="AC61" s="96"/>
      <c r="AD61" s="96"/>
    </row>
    <row r="62" spans="2:30" ht="87.75" customHeight="1">
      <c r="B62" s="305" t="s">
        <v>374</v>
      </c>
      <c r="C62" s="305"/>
      <c r="D62" s="59">
        <v>1</v>
      </c>
      <c r="E62" s="303" t="s">
        <v>377</v>
      </c>
      <c r="F62" s="304"/>
      <c r="G62" s="304"/>
      <c r="H62" s="304"/>
      <c r="I62" s="304"/>
      <c r="J62" s="84"/>
      <c r="K62" s="84"/>
      <c r="L62" s="84"/>
      <c r="M62" s="85"/>
      <c r="N62" s="85"/>
      <c r="O62" s="85"/>
      <c r="P62" s="85"/>
      <c r="Q62" s="85"/>
      <c r="R62" s="86"/>
      <c r="S62" s="44"/>
      <c r="T62" s="94"/>
      <c r="W62" s="226"/>
      <c r="X62" s="226"/>
      <c r="Y62" s="226"/>
      <c r="Z62" s="226"/>
      <c r="AA62" s="226"/>
      <c r="AB62" s="226"/>
      <c r="AC62" s="226"/>
      <c r="AD62" s="226"/>
    </row>
    <row r="63" spans="2:30" ht="87" customHeight="1">
      <c r="B63" s="306" t="s">
        <v>13</v>
      </c>
      <c r="C63" s="306"/>
      <c r="D63" s="87">
        <v>2</v>
      </c>
      <c r="E63" s="301" t="s">
        <v>378</v>
      </c>
      <c r="F63" s="302"/>
      <c r="G63" s="302"/>
      <c r="H63" s="302"/>
      <c r="I63" s="302"/>
      <c r="J63" s="88"/>
      <c r="K63" s="88"/>
      <c r="L63" s="88"/>
      <c r="M63" s="88"/>
      <c r="N63" s="88"/>
      <c r="O63" s="88"/>
      <c r="P63" s="88"/>
      <c r="Q63" s="88"/>
      <c r="R63" s="88"/>
      <c r="S63" s="44"/>
      <c r="T63" s="94"/>
      <c r="W63" s="226"/>
      <c r="X63" s="226"/>
      <c r="Y63" s="226"/>
      <c r="Z63" s="226"/>
      <c r="AA63" s="226"/>
      <c r="AB63" s="226"/>
      <c r="AC63" s="226"/>
      <c r="AD63" s="226"/>
    </row>
    <row r="64" spans="2:30" ht="71.25" customHeight="1">
      <c r="B64" s="305" t="s">
        <v>14</v>
      </c>
      <c r="C64" s="305"/>
      <c r="D64" s="59">
        <v>3</v>
      </c>
      <c r="E64" s="303" t="s">
        <v>379</v>
      </c>
      <c r="F64" s="304"/>
      <c r="G64" s="304"/>
      <c r="H64" s="304"/>
      <c r="I64" s="304"/>
      <c r="J64" s="86"/>
      <c r="K64" s="86"/>
      <c r="L64" s="86"/>
      <c r="M64" s="86"/>
      <c r="N64" s="86"/>
      <c r="O64" s="86"/>
      <c r="P64" s="86"/>
      <c r="Q64" s="86"/>
      <c r="R64" s="86"/>
      <c r="S64" s="44"/>
      <c r="T64" s="89"/>
      <c r="U64" s="308"/>
      <c r="V64" s="308"/>
      <c r="W64" s="308"/>
      <c r="X64" s="308"/>
      <c r="Y64" s="308"/>
      <c r="Z64" s="308"/>
      <c r="AA64" s="308"/>
      <c r="AB64" s="308"/>
    </row>
    <row r="65" spans="2:29" ht="86.25" customHeight="1">
      <c r="B65" s="306" t="s">
        <v>375</v>
      </c>
      <c r="C65" s="306"/>
      <c r="D65" s="87">
        <v>4</v>
      </c>
      <c r="E65" s="301" t="s">
        <v>380</v>
      </c>
      <c r="F65" s="302"/>
      <c r="G65" s="302"/>
      <c r="H65" s="302"/>
      <c r="I65" s="302"/>
      <c r="J65" s="25"/>
      <c r="K65" s="25"/>
      <c r="L65" s="25"/>
      <c r="M65" s="25"/>
      <c r="N65" s="25"/>
      <c r="O65" s="25"/>
      <c r="P65" s="25"/>
      <c r="Q65" s="25"/>
      <c r="R65" s="25"/>
      <c r="S65" s="44"/>
      <c r="T65" s="89" t="s">
        <v>142</v>
      </c>
      <c r="U65" s="226"/>
      <c r="V65" s="226"/>
      <c r="W65" s="226"/>
      <c r="X65" s="226"/>
      <c r="Y65" s="226"/>
      <c r="Z65" s="226"/>
      <c r="AA65" s="226"/>
      <c r="AB65" s="226"/>
    </row>
    <row r="66" spans="2:29" ht="83.25" customHeight="1">
      <c r="B66" s="305" t="s">
        <v>33</v>
      </c>
      <c r="C66" s="305"/>
      <c r="D66" s="59">
        <v>5</v>
      </c>
      <c r="E66" s="303" t="s">
        <v>381</v>
      </c>
      <c r="F66" s="304"/>
      <c r="G66" s="304"/>
      <c r="H66" s="304"/>
      <c r="I66" s="304"/>
      <c r="J66" s="86"/>
      <c r="K66" s="86"/>
      <c r="L66" s="86"/>
      <c r="M66" s="91"/>
      <c r="N66" s="91"/>
      <c r="O66" s="91"/>
      <c r="P66" s="91"/>
      <c r="Q66" s="91"/>
      <c r="R66" s="86"/>
      <c r="S66" s="44"/>
      <c r="T66" s="89" t="s">
        <v>116</v>
      </c>
      <c r="U66" s="226">
        <v>1</v>
      </c>
      <c r="V66" s="226"/>
      <c r="W66" s="226" t="s">
        <v>120</v>
      </c>
      <c r="X66" s="226" t="s">
        <v>121</v>
      </c>
      <c r="Y66" s="226" t="s">
        <v>122</v>
      </c>
      <c r="Z66" s="226" t="s">
        <v>121</v>
      </c>
      <c r="AA66" s="226" t="s">
        <v>345</v>
      </c>
      <c r="AB66" s="226" t="s">
        <v>121</v>
      </c>
      <c r="AC66" s="20" t="s">
        <v>351</v>
      </c>
    </row>
    <row r="67" spans="2:29" ht="45.75" customHeight="1">
      <c r="B67" s="25"/>
      <c r="C67" s="25"/>
      <c r="D67" s="25"/>
      <c r="E67" s="24"/>
      <c r="F67" s="25"/>
      <c r="G67" s="25"/>
      <c r="H67" s="25"/>
      <c r="I67" s="25"/>
      <c r="J67" s="25"/>
      <c r="K67" s="25"/>
      <c r="L67" s="25"/>
      <c r="M67" s="92"/>
      <c r="N67" s="92"/>
      <c r="O67" s="92"/>
      <c r="P67" s="92"/>
      <c r="Q67" s="92"/>
      <c r="R67" s="25"/>
      <c r="S67" s="44"/>
      <c r="T67" s="89" t="s">
        <v>13</v>
      </c>
      <c r="U67" s="226">
        <v>2</v>
      </c>
      <c r="V67" s="226"/>
      <c r="W67" s="226" t="s">
        <v>123</v>
      </c>
      <c r="X67" s="226" t="s">
        <v>121</v>
      </c>
      <c r="Y67" s="226" t="s">
        <v>122</v>
      </c>
      <c r="Z67" s="226" t="s">
        <v>121</v>
      </c>
      <c r="AA67" s="226" t="s">
        <v>346</v>
      </c>
      <c r="AB67" s="226" t="s">
        <v>121</v>
      </c>
      <c r="AC67" s="93" t="s">
        <v>338</v>
      </c>
    </row>
    <row r="68" spans="2:29" ht="15.75" customHeight="1">
      <c r="B68" s="25"/>
      <c r="C68" s="25"/>
      <c r="D68" s="25"/>
      <c r="E68" s="24"/>
      <c r="F68" s="25"/>
      <c r="G68" s="25"/>
      <c r="H68" s="25"/>
      <c r="I68" s="25"/>
      <c r="J68" s="25"/>
      <c r="K68" s="25"/>
      <c r="L68" s="25"/>
      <c r="M68" s="92"/>
      <c r="N68" s="92"/>
      <c r="O68" s="92"/>
      <c r="P68" s="92"/>
      <c r="Q68" s="92"/>
      <c r="R68" s="25"/>
      <c r="S68" s="44"/>
      <c r="T68" s="89" t="s">
        <v>117</v>
      </c>
      <c r="U68" s="226">
        <v>3</v>
      </c>
      <c r="V68" s="226"/>
      <c r="W68" s="226" t="s">
        <v>120</v>
      </c>
      <c r="X68" s="226" t="s">
        <v>121</v>
      </c>
      <c r="Y68" s="226" t="s">
        <v>122</v>
      </c>
      <c r="Z68" s="226" t="s">
        <v>121</v>
      </c>
      <c r="AA68" s="226" t="s">
        <v>344</v>
      </c>
      <c r="AB68" s="226" t="s">
        <v>121</v>
      </c>
      <c r="AC68" s="93" t="s">
        <v>339</v>
      </c>
    </row>
    <row r="69" spans="2:29" ht="22.5" customHeight="1">
      <c r="B69" s="307" t="s">
        <v>111</v>
      </c>
      <c r="C69" s="307"/>
      <c r="D69" s="80"/>
      <c r="E69" s="309" t="s">
        <v>43</v>
      </c>
      <c r="F69" s="309"/>
      <c r="G69" s="309"/>
      <c r="H69" s="309"/>
      <c r="I69" s="309"/>
      <c r="J69" s="81"/>
      <c r="K69" s="81"/>
      <c r="L69" s="81"/>
      <c r="M69" s="82" t="s">
        <v>45</v>
      </c>
      <c r="N69" s="82"/>
      <c r="O69" s="82"/>
      <c r="P69" s="82"/>
      <c r="Q69" s="82"/>
      <c r="R69" s="83"/>
      <c r="S69" s="44"/>
      <c r="T69" s="94" t="s">
        <v>118</v>
      </c>
      <c r="U69" s="226">
        <v>4</v>
      </c>
      <c r="V69" s="226"/>
      <c r="W69" s="226" t="s">
        <v>124</v>
      </c>
      <c r="X69" s="226" t="s">
        <v>121</v>
      </c>
      <c r="Y69" s="226" t="s">
        <v>125</v>
      </c>
      <c r="Z69" s="226" t="s">
        <v>121</v>
      </c>
      <c r="AA69" s="226" t="s">
        <v>126</v>
      </c>
      <c r="AB69" s="226" t="s">
        <v>121</v>
      </c>
      <c r="AC69" s="93" t="s">
        <v>340</v>
      </c>
    </row>
    <row r="70" spans="2:29" ht="87.75" customHeight="1">
      <c r="B70" s="305" t="s">
        <v>367</v>
      </c>
      <c r="C70" s="305"/>
      <c r="D70" s="95">
        <v>6</v>
      </c>
      <c r="E70" s="303" t="s">
        <v>376</v>
      </c>
      <c r="F70" s="304"/>
      <c r="G70" s="304"/>
      <c r="H70" s="304"/>
      <c r="I70" s="304"/>
      <c r="J70" s="84"/>
      <c r="K70" s="84"/>
      <c r="L70" s="84"/>
      <c r="M70" s="85"/>
      <c r="N70" s="85"/>
      <c r="O70" s="85"/>
      <c r="P70" s="85"/>
      <c r="Q70" s="85"/>
      <c r="R70" s="86"/>
      <c r="S70" s="44"/>
      <c r="T70" s="94" t="s">
        <v>33</v>
      </c>
      <c r="U70" s="226">
        <v>5</v>
      </c>
      <c r="V70" s="226"/>
      <c r="W70" s="226" t="s">
        <v>127</v>
      </c>
      <c r="X70" s="226" t="s">
        <v>121</v>
      </c>
      <c r="Y70" s="226" t="s">
        <v>128</v>
      </c>
      <c r="Z70" s="226" t="s">
        <v>121</v>
      </c>
      <c r="AA70" s="226" t="s">
        <v>129</v>
      </c>
      <c r="AB70" s="226" t="s">
        <v>121</v>
      </c>
      <c r="AC70" s="93" t="s">
        <v>341</v>
      </c>
    </row>
    <row r="71" spans="2:29" ht="87" customHeight="1">
      <c r="B71" s="306" t="s">
        <v>16</v>
      </c>
      <c r="C71" s="306"/>
      <c r="D71" s="87">
        <v>7</v>
      </c>
      <c r="E71" s="301" t="s">
        <v>370</v>
      </c>
      <c r="F71" s="302"/>
      <c r="G71" s="302"/>
      <c r="H71" s="302"/>
      <c r="I71" s="302"/>
      <c r="J71" s="88"/>
      <c r="K71" s="88"/>
      <c r="L71" s="88"/>
      <c r="M71" s="88"/>
      <c r="N71" s="88"/>
      <c r="O71" s="88"/>
      <c r="P71" s="88"/>
      <c r="Q71" s="88"/>
      <c r="R71" s="88"/>
      <c r="S71" s="44"/>
      <c r="T71" s="89" t="s">
        <v>143</v>
      </c>
    </row>
    <row r="72" spans="2:29" ht="90" customHeight="1">
      <c r="B72" s="305" t="s">
        <v>368</v>
      </c>
      <c r="C72" s="305"/>
      <c r="D72" s="95">
        <v>8</v>
      </c>
      <c r="E72" s="303" t="s">
        <v>371</v>
      </c>
      <c r="F72" s="304"/>
      <c r="G72" s="304"/>
      <c r="H72" s="304"/>
      <c r="I72" s="304"/>
      <c r="J72" s="86"/>
      <c r="K72" s="86"/>
      <c r="L72" s="86"/>
      <c r="M72" s="86"/>
      <c r="N72" s="86"/>
      <c r="O72" s="86"/>
      <c r="P72" s="86"/>
      <c r="Q72" s="86"/>
      <c r="R72" s="86"/>
      <c r="S72" s="44"/>
      <c r="T72" s="94" t="s">
        <v>15</v>
      </c>
      <c r="U72" s="226">
        <v>6</v>
      </c>
      <c r="V72" s="226"/>
      <c r="W72" s="226" t="s">
        <v>130</v>
      </c>
      <c r="X72" s="226" t="s">
        <v>131</v>
      </c>
      <c r="Y72" s="226" t="s">
        <v>132</v>
      </c>
      <c r="Z72" s="226" t="s">
        <v>121</v>
      </c>
      <c r="AA72" s="226" t="s">
        <v>133</v>
      </c>
      <c r="AB72" s="226" t="s">
        <v>121</v>
      </c>
      <c r="AC72" s="20" t="s">
        <v>342</v>
      </c>
    </row>
    <row r="73" spans="2:29" ht="86.25" customHeight="1">
      <c r="B73" s="306" t="s">
        <v>369</v>
      </c>
      <c r="C73" s="306"/>
      <c r="D73" s="87">
        <v>9</v>
      </c>
      <c r="E73" s="301" t="s">
        <v>372</v>
      </c>
      <c r="F73" s="302"/>
      <c r="G73" s="302"/>
      <c r="H73" s="302"/>
      <c r="I73" s="302"/>
      <c r="J73" s="25"/>
      <c r="K73" s="25"/>
      <c r="L73" s="25"/>
      <c r="M73" s="25"/>
      <c r="N73" s="25"/>
      <c r="O73" s="25"/>
      <c r="P73" s="25"/>
      <c r="Q73" s="25"/>
      <c r="R73" s="25"/>
      <c r="S73" s="44"/>
      <c r="T73" s="89" t="s">
        <v>16</v>
      </c>
      <c r="U73" s="96">
        <v>7</v>
      </c>
      <c r="V73" s="96"/>
      <c r="W73" s="96" t="s">
        <v>130</v>
      </c>
      <c r="X73" s="96" t="s">
        <v>131</v>
      </c>
      <c r="Y73" s="96" t="s">
        <v>132</v>
      </c>
      <c r="Z73" s="96" t="s">
        <v>121</v>
      </c>
      <c r="AA73" s="96" t="s">
        <v>133</v>
      </c>
      <c r="AB73" s="96" t="s">
        <v>121</v>
      </c>
      <c r="AC73" s="20" t="s">
        <v>342</v>
      </c>
    </row>
    <row r="74" spans="2:29" ht="83.25" customHeight="1">
      <c r="B74" s="305" t="s">
        <v>19</v>
      </c>
      <c r="C74" s="305"/>
      <c r="D74" s="95">
        <v>10</v>
      </c>
      <c r="E74" s="303" t="s">
        <v>373</v>
      </c>
      <c r="F74" s="304"/>
      <c r="G74" s="304"/>
      <c r="H74" s="304"/>
      <c r="I74" s="304"/>
      <c r="J74" s="86"/>
      <c r="K74" s="86"/>
      <c r="L74" s="86"/>
      <c r="M74" s="91"/>
      <c r="N74" s="91"/>
      <c r="O74" s="91"/>
      <c r="P74" s="91"/>
      <c r="Q74" s="91"/>
      <c r="R74" s="86"/>
      <c r="S74" s="44"/>
      <c r="T74" s="89" t="s">
        <v>17</v>
      </c>
      <c r="U74" s="96">
        <v>8</v>
      </c>
      <c r="V74" s="96"/>
      <c r="W74" s="96" t="s">
        <v>134</v>
      </c>
      <c r="X74" s="96" t="s">
        <v>121</v>
      </c>
      <c r="Y74" s="96" t="s">
        <v>347</v>
      </c>
      <c r="Z74" s="96" t="s">
        <v>121</v>
      </c>
      <c r="AA74" s="96" t="s">
        <v>141</v>
      </c>
      <c r="AB74" s="96" t="s">
        <v>121</v>
      </c>
      <c r="AC74" s="20" t="s">
        <v>343</v>
      </c>
    </row>
    <row r="75" spans="2:29" ht="42.75" customHeight="1">
      <c r="B75" s="25"/>
      <c r="C75" s="25"/>
      <c r="D75" s="25"/>
      <c r="E75" s="24"/>
      <c r="F75" s="25"/>
      <c r="G75" s="25"/>
      <c r="H75" s="25"/>
      <c r="I75" s="25"/>
      <c r="J75" s="25"/>
      <c r="K75" s="25"/>
      <c r="L75" s="25"/>
      <c r="M75" s="25"/>
      <c r="N75" s="25"/>
      <c r="O75" s="25"/>
      <c r="P75" s="25"/>
      <c r="Q75" s="25"/>
      <c r="R75" s="25"/>
      <c r="S75" s="44"/>
      <c r="T75" s="89" t="s">
        <v>18</v>
      </c>
      <c r="U75" s="96">
        <v>9</v>
      </c>
      <c r="V75" s="96"/>
      <c r="W75" s="96" t="s">
        <v>134</v>
      </c>
      <c r="X75" s="96" t="s">
        <v>121</v>
      </c>
      <c r="Y75" s="96" t="s">
        <v>140</v>
      </c>
      <c r="Z75" s="96" t="s">
        <v>121</v>
      </c>
      <c r="AA75" s="96" t="s">
        <v>135</v>
      </c>
      <c r="AB75" s="96" t="s">
        <v>121</v>
      </c>
      <c r="AC75" s="20" t="s">
        <v>343</v>
      </c>
    </row>
    <row r="76" spans="2:29" ht="22.5" customHeight="1">
      <c r="B76" s="25"/>
      <c r="C76" s="25"/>
      <c r="D76" s="25"/>
      <c r="E76" s="24"/>
      <c r="F76" s="25"/>
      <c r="G76" s="25"/>
      <c r="H76" s="25"/>
      <c r="I76" s="25"/>
      <c r="J76" s="25"/>
      <c r="K76" s="25"/>
      <c r="L76" s="25"/>
      <c r="M76" s="25"/>
      <c r="N76" s="25"/>
      <c r="O76" s="25"/>
      <c r="P76" s="25"/>
      <c r="Q76" s="25"/>
      <c r="R76" s="25"/>
      <c r="S76" s="44"/>
      <c r="T76" s="89" t="s">
        <v>119</v>
      </c>
      <c r="U76" s="226">
        <v>10</v>
      </c>
      <c r="V76" s="226"/>
      <c r="W76" s="226" t="s">
        <v>350</v>
      </c>
      <c r="X76" s="226" t="s">
        <v>121</v>
      </c>
      <c r="Y76" s="226" t="s">
        <v>136</v>
      </c>
      <c r="Z76" s="226" t="s">
        <v>121</v>
      </c>
      <c r="AA76" s="226" t="s">
        <v>137</v>
      </c>
      <c r="AB76" s="226" t="s">
        <v>121</v>
      </c>
      <c r="AC76" s="20" t="s">
        <v>342</v>
      </c>
    </row>
    <row r="77" spans="2:29" ht="22.5" customHeight="1">
      <c r="B77" s="300" t="s">
        <v>182</v>
      </c>
      <c r="C77" s="300"/>
      <c r="D77" s="25"/>
      <c r="E77" s="24"/>
      <c r="F77" s="25"/>
      <c r="G77" s="25"/>
      <c r="H77" s="25"/>
      <c r="I77" s="25"/>
      <c r="J77" s="25"/>
      <c r="K77" s="25"/>
      <c r="L77" s="25"/>
      <c r="M77" s="25"/>
      <c r="N77" s="25"/>
      <c r="O77" s="25"/>
      <c r="P77" s="25"/>
      <c r="Q77" s="25"/>
      <c r="R77" s="25"/>
      <c r="S77" s="44"/>
      <c r="T77" s="89"/>
      <c r="U77" s="226"/>
      <c r="V77" s="226"/>
      <c r="W77" s="226"/>
      <c r="X77" s="226"/>
      <c r="Y77" s="226"/>
      <c r="Z77" s="226"/>
      <c r="AA77" s="226"/>
      <c r="AB77" s="226"/>
    </row>
    <row r="78" spans="2:29" ht="22.5" customHeight="1">
      <c r="B78" s="25"/>
      <c r="C78" s="25"/>
      <c r="D78" s="25"/>
      <c r="E78" s="25"/>
      <c r="F78" s="25"/>
      <c r="G78" s="25"/>
      <c r="H78" s="25"/>
      <c r="I78" s="25"/>
      <c r="J78" s="25"/>
      <c r="K78" s="25"/>
      <c r="L78" s="25"/>
      <c r="M78" s="25"/>
      <c r="N78" s="25"/>
      <c r="O78" s="25"/>
      <c r="P78" s="25"/>
      <c r="Q78" s="25"/>
      <c r="R78" s="25"/>
      <c r="S78" s="44"/>
      <c r="T78" s="89"/>
      <c r="U78" s="226"/>
      <c r="V78" s="226"/>
      <c r="W78" s="226"/>
      <c r="X78" s="226"/>
      <c r="Y78" s="226"/>
      <c r="Z78" s="226"/>
      <c r="AA78" s="226"/>
      <c r="AB78" s="226"/>
    </row>
    <row r="79" spans="2:29" ht="15" customHeight="1">
      <c r="B79" s="25"/>
      <c r="C79" s="25"/>
      <c r="D79" s="25"/>
      <c r="E79" s="25"/>
      <c r="F79" s="25"/>
      <c r="G79" s="25"/>
      <c r="H79" s="25"/>
      <c r="I79" s="25"/>
      <c r="J79" s="25"/>
      <c r="K79" s="25"/>
      <c r="L79" s="25"/>
      <c r="M79" s="25"/>
      <c r="N79" s="25"/>
      <c r="O79" s="25"/>
      <c r="P79" s="25"/>
      <c r="Q79" s="25"/>
      <c r="R79" s="25"/>
      <c r="S79" s="44"/>
      <c r="T79" s="89"/>
      <c r="U79" s="226"/>
      <c r="V79" s="226"/>
      <c r="W79" s="226"/>
      <c r="X79" s="226"/>
      <c r="Y79" s="226"/>
      <c r="Z79" s="226"/>
      <c r="AA79" s="226"/>
      <c r="AB79" s="226"/>
    </row>
    <row r="80" spans="2:29" ht="15" customHeight="1">
      <c r="B80" s="25"/>
      <c r="C80" s="25"/>
      <c r="D80" s="25"/>
      <c r="E80" s="25"/>
      <c r="F80" s="25"/>
      <c r="G80" s="25"/>
      <c r="H80" s="25"/>
      <c r="I80" s="25"/>
      <c r="J80" s="25"/>
      <c r="K80" s="25"/>
      <c r="L80" s="25"/>
      <c r="M80" s="25"/>
      <c r="N80" s="25"/>
      <c r="O80" s="25"/>
      <c r="P80" s="25"/>
      <c r="Q80" s="25"/>
      <c r="R80" s="25"/>
      <c r="S80" s="44"/>
      <c r="T80" s="89"/>
      <c r="U80" s="226"/>
      <c r="V80" s="226"/>
      <c r="W80" s="226"/>
      <c r="X80" s="226"/>
      <c r="Y80" s="226"/>
      <c r="Z80" s="226"/>
      <c r="AA80" s="226"/>
      <c r="AB80" s="226"/>
    </row>
    <row r="81" spans="2:28" ht="15" customHeight="1">
      <c r="B81" s="25"/>
      <c r="C81" s="25"/>
      <c r="D81" s="25"/>
      <c r="E81" s="25"/>
      <c r="F81" s="25"/>
      <c r="G81" s="25"/>
      <c r="H81" s="25"/>
      <c r="I81" s="25"/>
      <c r="J81" s="25"/>
      <c r="K81" s="25"/>
      <c r="L81" s="25"/>
      <c r="M81" s="25"/>
      <c r="N81" s="25"/>
      <c r="O81" s="25"/>
      <c r="P81" s="25"/>
      <c r="Q81" s="25"/>
      <c r="R81" s="25"/>
      <c r="S81" s="44"/>
      <c r="T81" s="89"/>
      <c r="U81" s="226"/>
      <c r="V81" s="226"/>
      <c r="W81" s="226"/>
      <c r="X81" s="226"/>
      <c r="Y81" s="226"/>
      <c r="Z81" s="226"/>
      <c r="AA81" s="226"/>
      <c r="AB81" s="226"/>
    </row>
    <row r="82" spans="2:28" ht="15" customHeight="1">
      <c r="B82" s="25"/>
      <c r="C82" s="25"/>
      <c r="D82" s="25"/>
      <c r="E82" s="25"/>
      <c r="F82" s="25"/>
      <c r="G82" s="25"/>
      <c r="H82" s="25"/>
      <c r="I82" s="25"/>
      <c r="J82" s="25"/>
      <c r="K82" s="25"/>
      <c r="L82" s="25"/>
      <c r="M82" s="25"/>
      <c r="N82" s="25"/>
      <c r="O82" s="25"/>
      <c r="P82" s="25"/>
      <c r="Q82" s="25"/>
      <c r="R82" s="25"/>
      <c r="S82" s="44"/>
      <c r="T82" s="89"/>
      <c r="U82" s="226"/>
      <c r="V82" s="226"/>
      <c r="W82" s="226"/>
      <c r="X82" s="226"/>
      <c r="Y82" s="226"/>
      <c r="Z82" s="226"/>
      <c r="AA82" s="226"/>
      <c r="AB82" s="226"/>
    </row>
    <row r="83" spans="2:28" ht="15" customHeight="1">
      <c r="B83" s="25"/>
      <c r="C83" s="25"/>
      <c r="D83" s="25"/>
      <c r="E83" s="25"/>
      <c r="F83" s="25"/>
      <c r="G83" s="25"/>
      <c r="H83" s="25"/>
      <c r="I83" s="25"/>
      <c r="J83" s="25"/>
      <c r="K83" s="25"/>
      <c r="L83" s="25"/>
      <c r="M83" s="25"/>
      <c r="N83" s="25"/>
      <c r="O83" s="25"/>
      <c r="P83" s="25"/>
      <c r="Q83" s="25"/>
      <c r="R83" s="25"/>
      <c r="S83" s="44"/>
      <c r="T83" s="89"/>
      <c r="U83" s="226"/>
      <c r="V83" s="226"/>
      <c r="W83" s="226"/>
      <c r="X83" s="226"/>
      <c r="Y83" s="226"/>
      <c r="Z83" s="226"/>
      <c r="AA83" s="226"/>
      <c r="AB83" s="226"/>
    </row>
    <row r="84" spans="2:28" ht="15.5">
      <c r="B84" s="25"/>
      <c r="C84" s="25"/>
      <c r="D84" s="25"/>
      <c r="E84" s="25"/>
      <c r="F84" s="25"/>
      <c r="G84" s="25"/>
      <c r="H84" s="25"/>
      <c r="I84" s="25"/>
      <c r="J84" s="25"/>
      <c r="K84" s="25"/>
      <c r="L84" s="25"/>
      <c r="M84" s="25"/>
      <c r="N84" s="25"/>
      <c r="O84" s="25"/>
      <c r="P84" s="25"/>
      <c r="Q84" s="25"/>
      <c r="R84" s="25"/>
      <c r="S84" s="44"/>
      <c r="T84" s="59"/>
      <c r="U84" s="59"/>
      <c r="V84" s="59"/>
      <c r="W84" s="59"/>
      <c r="X84" s="59"/>
      <c r="Y84" s="59"/>
      <c r="Z84" s="59"/>
      <c r="AA84" s="59"/>
      <c r="AB84" s="59"/>
    </row>
    <row r="85" spans="2:28" ht="15.5">
      <c r="B85" s="25"/>
      <c r="C85" s="25"/>
      <c r="D85" s="25"/>
      <c r="E85" s="25"/>
      <c r="F85" s="25"/>
      <c r="G85" s="25"/>
      <c r="H85" s="25"/>
      <c r="I85" s="25"/>
      <c r="J85" s="25"/>
      <c r="K85" s="25"/>
      <c r="L85" s="25"/>
      <c r="M85" s="25"/>
      <c r="N85" s="25"/>
      <c r="O85" s="25"/>
      <c r="P85" s="25"/>
      <c r="Q85" s="25"/>
      <c r="R85" s="25"/>
      <c r="S85" s="44"/>
      <c r="T85" s="59"/>
      <c r="U85" s="59"/>
      <c r="V85" s="59"/>
      <c r="W85" s="59"/>
      <c r="X85" s="59"/>
      <c r="Y85" s="59"/>
      <c r="Z85" s="59"/>
      <c r="AA85" s="59"/>
      <c r="AB85" s="59"/>
    </row>
    <row r="86" spans="2:28" ht="12.5">
      <c r="B86" s="44"/>
      <c r="C86" s="44"/>
      <c r="D86" s="44"/>
      <c r="E86" s="44"/>
      <c r="F86" s="44"/>
      <c r="G86" s="44"/>
      <c r="H86" s="44"/>
      <c r="I86" s="44"/>
      <c r="J86" s="44"/>
      <c r="K86" s="44"/>
      <c r="L86" s="44"/>
      <c r="M86" s="44"/>
      <c r="N86" s="44"/>
      <c r="O86" s="44"/>
      <c r="P86" s="44"/>
      <c r="Q86" s="44"/>
      <c r="R86" s="44"/>
      <c r="S86" s="44"/>
      <c r="T86" s="59"/>
      <c r="U86" s="59"/>
      <c r="V86" s="59"/>
      <c r="W86" s="59"/>
      <c r="X86" s="59"/>
      <c r="Y86" s="59"/>
      <c r="Z86" s="59"/>
      <c r="AA86" s="59"/>
      <c r="AB86" s="59"/>
    </row>
    <row r="87" spans="2:28" ht="12.5">
      <c r="B87" s="44"/>
      <c r="C87" s="44"/>
      <c r="D87" s="44"/>
      <c r="E87" s="44"/>
      <c r="F87" s="44"/>
      <c r="G87" s="44"/>
      <c r="H87" s="44"/>
      <c r="I87" s="44"/>
      <c r="J87" s="44"/>
      <c r="K87" s="44"/>
      <c r="L87" s="44"/>
      <c r="M87" s="44"/>
      <c r="N87" s="44"/>
      <c r="O87" s="44"/>
      <c r="P87" s="44"/>
      <c r="Q87" s="44"/>
      <c r="R87" s="44"/>
      <c r="S87" s="44"/>
      <c r="T87" s="59"/>
      <c r="U87" s="59"/>
      <c r="V87" s="59"/>
      <c r="W87" s="59"/>
      <c r="X87" s="59"/>
      <c r="Y87" s="59"/>
      <c r="Z87" s="59"/>
      <c r="AA87" s="59"/>
      <c r="AB87" s="59"/>
    </row>
    <row r="88" spans="2:28" ht="12.5">
      <c r="B88" s="44"/>
      <c r="C88" s="44"/>
      <c r="D88" s="44"/>
      <c r="E88" s="44"/>
      <c r="F88" s="44"/>
      <c r="G88" s="44"/>
      <c r="H88" s="44"/>
      <c r="I88" s="44"/>
      <c r="J88" s="44"/>
      <c r="K88" s="44"/>
      <c r="L88" s="44"/>
      <c r="M88" s="44"/>
      <c r="N88" s="44"/>
      <c r="O88" s="44"/>
      <c r="P88" s="44"/>
      <c r="Q88" s="44"/>
      <c r="R88" s="44"/>
      <c r="S88" s="44"/>
      <c r="T88" s="59"/>
      <c r="U88" s="59"/>
      <c r="V88" s="59"/>
      <c r="W88" s="59"/>
      <c r="X88" s="59"/>
      <c r="Y88" s="59"/>
      <c r="Z88" s="59"/>
      <c r="AA88" s="59"/>
      <c r="AB88" s="59"/>
    </row>
    <row r="89" spans="2:28" ht="12.5">
      <c r="B89" s="44"/>
      <c r="C89" s="44"/>
      <c r="D89" s="44"/>
      <c r="E89" s="44"/>
      <c r="F89" s="44"/>
      <c r="G89" s="44"/>
      <c r="H89" s="44"/>
      <c r="I89" s="44"/>
      <c r="J89" s="44"/>
      <c r="K89" s="44"/>
      <c r="L89" s="44"/>
      <c r="M89" s="44"/>
      <c r="N89" s="44"/>
      <c r="O89" s="44"/>
      <c r="P89" s="44"/>
      <c r="Q89" s="44"/>
      <c r="R89" s="44"/>
      <c r="S89" s="44"/>
      <c r="T89" s="59"/>
      <c r="U89" s="59"/>
      <c r="V89" s="59"/>
      <c r="W89" s="59"/>
      <c r="X89" s="59"/>
      <c r="Y89" s="59"/>
      <c r="Z89" s="59"/>
      <c r="AA89" s="59"/>
      <c r="AB89" s="59"/>
    </row>
    <row r="90" spans="2:28" ht="12.5">
      <c r="B90" s="44"/>
      <c r="C90" s="44"/>
      <c r="D90" s="44"/>
      <c r="E90" s="44"/>
      <c r="F90" s="44"/>
      <c r="G90" s="44"/>
      <c r="H90" s="44"/>
      <c r="I90" s="44"/>
      <c r="J90" s="44"/>
      <c r="K90" s="44"/>
      <c r="L90" s="44"/>
      <c r="M90" s="44"/>
      <c r="N90" s="44"/>
      <c r="O90" s="44"/>
      <c r="P90" s="44"/>
      <c r="Q90" s="44"/>
      <c r="R90" s="44"/>
      <c r="S90" s="44"/>
      <c r="T90" s="59"/>
      <c r="U90" s="59"/>
      <c r="V90" s="59"/>
      <c r="W90" s="59"/>
      <c r="X90" s="59"/>
      <c r="Y90" s="59"/>
      <c r="Z90" s="59"/>
      <c r="AA90" s="59"/>
      <c r="AB90" s="59"/>
    </row>
    <row r="91" spans="2:28" ht="12.5" hidden="1">
      <c r="B91" s="44"/>
      <c r="C91" s="44"/>
      <c r="D91" s="44"/>
      <c r="E91" s="44"/>
      <c r="F91" s="44"/>
      <c r="G91" s="44"/>
      <c r="H91" s="44"/>
      <c r="I91" s="44"/>
      <c r="J91" s="44"/>
      <c r="K91" s="44"/>
      <c r="L91" s="44"/>
      <c r="M91" s="44"/>
      <c r="N91" s="44"/>
      <c r="O91" s="44"/>
      <c r="P91" s="44"/>
      <c r="Q91" s="44"/>
      <c r="R91" s="44"/>
      <c r="S91" s="44"/>
      <c r="T91" s="59"/>
      <c r="U91" s="59"/>
      <c r="V91" s="59"/>
      <c r="W91" s="59"/>
      <c r="X91" s="59"/>
      <c r="Y91" s="59"/>
      <c r="Z91" s="59"/>
      <c r="AA91" s="59"/>
      <c r="AB91" s="59"/>
    </row>
    <row r="92" spans="2:28" ht="12.5" hidden="1">
      <c r="B92" s="44"/>
      <c r="C92" s="44"/>
      <c r="D92" s="44"/>
      <c r="E92" s="44"/>
      <c r="F92" s="44"/>
      <c r="G92" s="44"/>
      <c r="H92" s="44"/>
      <c r="I92" s="44"/>
      <c r="J92" s="44"/>
      <c r="K92" s="44"/>
      <c r="L92" s="44"/>
      <c r="M92" s="44"/>
      <c r="N92" s="44"/>
      <c r="O92" s="44"/>
      <c r="P92" s="44"/>
      <c r="Q92" s="44"/>
      <c r="R92" s="44"/>
      <c r="S92" s="44"/>
      <c r="T92" s="59"/>
      <c r="U92" s="59"/>
      <c r="V92" s="59"/>
      <c r="W92" s="59"/>
      <c r="X92" s="59"/>
      <c r="Y92" s="59"/>
      <c r="Z92" s="59"/>
      <c r="AA92" s="59"/>
      <c r="AB92" s="59"/>
    </row>
    <row r="93" spans="2:28" ht="12.5" hidden="1">
      <c r="B93" s="44"/>
      <c r="C93" s="44"/>
      <c r="D93" s="44"/>
      <c r="E93" s="44"/>
      <c r="F93" s="44"/>
      <c r="G93" s="44"/>
      <c r="H93" s="44"/>
      <c r="I93" s="44"/>
      <c r="J93" s="44"/>
      <c r="K93" s="44"/>
      <c r="L93" s="44"/>
      <c r="M93" s="44"/>
      <c r="N93" s="44"/>
      <c r="O93" s="44"/>
      <c r="P93" s="44"/>
      <c r="Q93" s="44"/>
      <c r="R93" s="44"/>
      <c r="S93" s="44"/>
      <c r="T93" s="59"/>
      <c r="U93" s="59"/>
      <c r="V93" s="59"/>
      <c r="W93" s="59"/>
      <c r="X93" s="59"/>
      <c r="Y93" s="59"/>
      <c r="Z93" s="59"/>
      <c r="AA93" s="59"/>
      <c r="AB93" s="59"/>
    </row>
    <row r="94" spans="2:28" ht="12.5" hidden="1">
      <c r="B94" s="44"/>
      <c r="C94" s="44"/>
      <c r="D94" s="44"/>
      <c r="E94" s="44"/>
      <c r="F94" s="44"/>
      <c r="G94" s="44"/>
      <c r="H94" s="44"/>
      <c r="I94" s="44"/>
      <c r="J94" s="44"/>
      <c r="K94" s="44"/>
      <c r="L94" s="44"/>
      <c r="M94" s="44"/>
      <c r="N94" s="44"/>
      <c r="O94" s="44"/>
      <c r="P94" s="44"/>
      <c r="Q94" s="44"/>
      <c r="R94" s="44"/>
      <c r="S94" s="44"/>
      <c r="T94" s="59"/>
      <c r="U94" s="59"/>
      <c r="V94" s="59"/>
      <c r="W94" s="59"/>
      <c r="X94" s="59"/>
      <c r="Y94" s="59"/>
      <c r="Z94" s="59"/>
      <c r="AA94" s="59"/>
      <c r="AB94" s="59"/>
    </row>
    <row r="95" spans="2:28" ht="12.5" hidden="1">
      <c r="B95" s="44"/>
      <c r="C95" s="44"/>
      <c r="D95" s="44"/>
      <c r="E95" s="44"/>
      <c r="F95" s="44"/>
      <c r="G95" s="44"/>
      <c r="H95" s="44"/>
      <c r="I95" s="44"/>
      <c r="J95" s="44"/>
      <c r="K95" s="44"/>
      <c r="L95" s="44"/>
      <c r="M95" s="44"/>
      <c r="N95" s="44"/>
      <c r="O95" s="44"/>
      <c r="P95" s="44"/>
      <c r="Q95" s="44"/>
      <c r="R95" s="44"/>
      <c r="S95" s="44"/>
      <c r="T95" s="59"/>
      <c r="U95" s="59"/>
      <c r="V95" s="59"/>
      <c r="W95" s="59"/>
      <c r="X95" s="59"/>
      <c r="Y95" s="59"/>
      <c r="Z95" s="59"/>
      <c r="AA95" s="59"/>
      <c r="AB95" s="59"/>
    </row>
    <row r="96" spans="2:28" ht="12.5" hidden="1">
      <c r="B96" s="44"/>
      <c r="C96" s="44"/>
      <c r="D96" s="44"/>
      <c r="E96" s="44"/>
      <c r="F96" s="44"/>
      <c r="G96" s="44"/>
      <c r="H96" s="44"/>
      <c r="I96" s="44"/>
      <c r="J96" s="44"/>
      <c r="K96" s="44"/>
      <c r="L96" s="44"/>
      <c r="M96" s="44"/>
      <c r="N96" s="44"/>
      <c r="O96" s="44"/>
      <c r="P96" s="44"/>
      <c r="Q96" s="44"/>
      <c r="R96" s="44"/>
      <c r="S96" s="44"/>
      <c r="T96" s="59"/>
      <c r="U96" s="59"/>
      <c r="V96" s="59"/>
      <c r="W96" s="59"/>
      <c r="X96" s="59"/>
      <c r="Y96" s="59"/>
      <c r="Z96" s="59"/>
      <c r="AA96" s="59"/>
      <c r="AB96" s="59"/>
    </row>
    <row r="97" spans="2:28" ht="12.5" hidden="1">
      <c r="B97" s="44"/>
      <c r="C97" s="44"/>
      <c r="D97" s="44"/>
      <c r="E97" s="44"/>
      <c r="F97" s="44"/>
      <c r="G97" s="44"/>
      <c r="H97" s="44"/>
      <c r="I97" s="44"/>
      <c r="J97" s="44"/>
      <c r="K97" s="44"/>
      <c r="L97" s="44"/>
      <c r="M97" s="44"/>
      <c r="N97" s="44"/>
      <c r="O97" s="44"/>
      <c r="P97" s="44"/>
      <c r="Q97" s="44"/>
      <c r="R97" s="44"/>
      <c r="S97" s="44"/>
      <c r="T97" s="59"/>
      <c r="U97" s="59"/>
      <c r="V97" s="59"/>
      <c r="W97" s="59"/>
      <c r="X97" s="59"/>
      <c r="Y97" s="59"/>
      <c r="Z97" s="59"/>
      <c r="AA97" s="59"/>
      <c r="AB97" s="59"/>
    </row>
    <row r="98" spans="2:28" ht="12.5" hidden="1">
      <c r="B98" s="44"/>
      <c r="C98" s="44"/>
      <c r="D98" s="44"/>
      <c r="E98" s="44"/>
      <c r="F98" s="44"/>
      <c r="G98" s="44"/>
      <c r="H98" s="44"/>
      <c r="I98" s="44"/>
      <c r="J98" s="44"/>
      <c r="K98" s="44"/>
      <c r="L98" s="44"/>
      <c r="M98" s="44"/>
      <c r="N98" s="44"/>
      <c r="O98" s="44"/>
      <c r="P98" s="44"/>
      <c r="Q98" s="44"/>
      <c r="R98" s="44"/>
      <c r="S98" s="44"/>
      <c r="T98" s="59"/>
      <c r="U98" s="59"/>
      <c r="V98" s="59"/>
      <c r="W98" s="59"/>
      <c r="X98" s="59"/>
      <c r="Y98" s="59"/>
      <c r="Z98" s="59"/>
      <c r="AA98" s="59"/>
      <c r="AB98" s="59"/>
    </row>
    <row r="99" spans="2:28" ht="12.5" hidden="1">
      <c r="B99" s="44"/>
      <c r="C99" s="44"/>
      <c r="D99" s="44"/>
      <c r="E99" s="44"/>
      <c r="F99" s="44"/>
      <c r="G99" s="44"/>
      <c r="H99" s="44"/>
      <c r="I99" s="44"/>
      <c r="J99" s="44"/>
      <c r="K99" s="44"/>
      <c r="L99" s="44"/>
      <c r="M99" s="44"/>
      <c r="N99" s="44"/>
      <c r="O99" s="44"/>
      <c r="P99" s="44"/>
      <c r="Q99" s="44"/>
      <c r="R99" s="44"/>
      <c r="S99" s="44"/>
      <c r="T99" s="59"/>
      <c r="U99" s="59"/>
      <c r="V99" s="59"/>
      <c r="W99" s="59"/>
      <c r="X99" s="59"/>
      <c r="Y99" s="59"/>
      <c r="Z99" s="59"/>
      <c r="AA99" s="59"/>
      <c r="AB99" s="59"/>
    </row>
    <row r="100" spans="2:28" ht="12.5" hidden="1">
      <c r="B100" s="44"/>
      <c r="C100" s="44"/>
      <c r="D100" s="44"/>
      <c r="E100" s="44"/>
      <c r="F100" s="44"/>
      <c r="G100" s="44"/>
      <c r="H100" s="44"/>
      <c r="I100" s="44"/>
      <c r="J100" s="44"/>
      <c r="K100" s="44"/>
      <c r="L100" s="44"/>
      <c r="M100" s="44"/>
      <c r="N100" s="44"/>
      <c r="O100" s="44"/>
      <c r="P100" s="44"/>
      <c r="Q100" s="44"/>
      <c r="R100" s="44"/>
      <c r="S100" s="44"/>
      <c r="T100" s="59"/>
      <c r="U100" s="59"/>
      <c r="V100" s="59"/>
      <c r="W100" s="59"/>
      <c r="X100" s="59"/>
      <c r="Y100" s="59"/>
      <c r="Z100" s="59"/>
      <c r="AA100" s="59"/>
      <c r="AB100" s="59"/>
    </row>
    <row r="101" spans="2:28" ht="12.5" hidden="1">
      <c r="B101" s="44"/>
      <c r="C101" s="44"/>
      <c r="D101" s="44"/>
      <c r="E101" s="44"/>
      <c r="F101" s="44"/>
      <c r="G101" s="44"/>
      <c r="H101" s="44"/>
      <c r="I101" s="44"/>
      <c r="J101" s="44"/>
      <c r="K101" s="44"/>
      <c r="L101" s="44"/>
      <c r="M101" s="44"/>
      <c r="N101" s="44"/>
      <c r="O101" s="44"/>
      <c r="P101" s="44"/>
      <c r="Q101" s="44"/>
      <c r="R101" s="44"/>
      <c r="S101" s="44"/>
      <c r="T101" s="59"/>
      <c r="U101" s="59"/>
      <c r="V101" s="59"/>
      <c r="W101" s="59"/>
      <c r="X101" s="59"/>
      <c r="Y101" s="59"/>
      <c r="Z101" s="59"/>
      <c r="AA101" s="59"/>
      <c r="AB101" s="59"/>
    </row>
    <row r="102" spans="2:28" ht="12.5" hidden="1">
      <c r="B102" s="44"/>
      <c r="C102" s="44"/>
      <c r="D102" s="44"/>
      <c r="E102" s="44"/>
      <c r="F102" s="44"/>
      <c r="G102" s="44"/>
      <c r="H102" s="44"/>
      <c r="I102" s="44"/>
      <c r="J102" s="44"/>
      <c r="K102" s="44"/>
      <c r="L102" s="44"/>
      <c r="M102" s="44"/>
      <c r="N102" s="44"/>
      <c r="O102" s="44"/>
      <c r="P102" s="44"/>
      <c r="Q102" s="44"/>
      <c r="R102" s="44"/>
      <c r="S102" s="44"/>
      <c r="T102" s="59"/>
      <c r="U102" s="59"/>
      <c r="V102" s="59"/>
      <c r="W102" s="59"/>
      <c r="X102" s="59"/>
      <c r="Y102" s="59"/>
      <c r="Z102" s="59"/>
      <c r="AA102" s="59"/>
      <c r="AB102" s="59"/>
    </row>
    <row r="103" spans="2:28" ht="12.5" hidden="1">
      <c r="B103" s="44"/>
      <c r="C103" s="44"/>
      <c r="D103" s="44"/>
      <c r="E103" s="44"/>
      <c r="F103" s="44"/>
      <c r="G103" s="44"/>
      <c r="H103" s="44"/>
      <c r="I103" s="44"/>
      <c r="J103" s="44"/>
      <c r="K103" s="44"/>
      <c r="L103" s="44"/>
      <c r="M103" s="44"/>
      <c r="N103" s="44"/>
      <c r="O103" s="44"/>
      <c r="P103" s="44"/>
      <c r="Q103" s="44"/>
      <c r="R103" s="44"/>
      <c r="S103" s="44"/>
      <c r="T103" s="59"/>
      <c r="U103" s="59"/>
      <c r="V103" s="59"/>
      <c r="W103" s="59"/>
      <c r="X103" s="59"/>
      <c r="Y103" s="59"/>
      <c r="Z103" s="59"/>
      <c r="AA103" s="59"/>
      <c r="AB103" s="59"/>
    </row>
    <row r="104" spans="2:28" ht="12.5" hidden="1">
      <c r="B104" s="44"/>
      <c r="C104" s="44"/>
      <c r="D104" s="44"/>
      <c r="E104" s="44"/>
      <c r="F104" s="44"/>
      <c r="G104" s="44"/>
      <c r="H104" s="44"/>
      <c r="I104" s="44"/>
      <c r="J104" s="44"/>
      <c r="K104" s="44"/>
      <c r="L104" s="44"/>
      <c r="M104" s="44"/>
      <c r="N104" s="44"/>
      <c r="O104" s="44"/>
      <c r="P104" s="44"/>
      <c r="Q104" s="44"/>
      <c r="R104" s="44"/>
      <c r="S104" s="44"/>
      <c r="T104" s="59"/>
      <c r="U104" s="59"/>
      <c r="V104" s="59"/>
      <c r="W104" s="59"/>
      <c r="X104" s="59"/>
      <c r="Y104" s="59"/>
      <c r="Z104" s="59"/>
      <c r="AA104" s="59"/>
      <c r="AB104" s="59"/>
    </row>
    <row r="105" spans="2:28" ht="12.5" hidden="1">
      <c r="B105" s="44"/>
      <c r="C105" s="44"/>
      <c r="D105" s="44"/>
      <c r="E105" s="44"/>
      <c r="F105" s="44"/>
      <c r="G105" s="44"/>
      <c r="H105" s="44"/>
      <c r="I105" s="44"/>
      <c r="J105" s="44"/>
      <c r="K105" s="44"/>
      <c r="L105" s="44"/>
      <c r="M105" s="44"/>
      <c r="N105" s="44"/>
      <c r="O105" s="44"/>
      <c r="P105" s="44"/>
      <c r="Q105" s="44"/>
      <c r="R105" s="44"/>
      <c r="S105" s="44"/>
      <c r="T105" s="59"/>
      <c r="U105" s="59"/>
      <c r="V105" s="59"/>
      <c r="W105" s="59"/>
      <c r="X105" s="59"/>
      <c r="Y105" s="59"/>
      <c r="Z105" s="59"/>
      <c r="AA105" s="59"/>
      <c r="AB105" s="59"/>
    </row>
    <row r="106" spans="2:28" ht="12.5" hidden="1">
      <c r="B106" s="44"/>
      <c r="C106" s="44"/>
      <c r="D106" s="44"/>
      <c r="E106" s="44"/>
      <c r="F106" s="44"/>
      <c r="G106" s="44"/>
      <c r="H106" s="44"/>
      <c r="I106" s="44"/>
      <c r="J106" s="44"/>
      <c r="K106" s="44"/>
      <c r="L106" s="44"/>
      <c r="M106" s="44"/>
      <c r="N106" s="44"/>
      <c r="O106" s="44"/>
      <c r="P106" s="44"/>
      <c r="Q106" s="44"/>
      <c r="R106" s="44"/>
      <c r="S106" s="44"/>
      <c r="T106" s="59"/>
      <c r="U106" s="59"/>
      <c r="V106" s="59"/>
      <c r="W106" s="59"/>
      <c r="X106" s="59"/>
      <c r="Y106" s="59"/>
      <c r="Z106" s="59"/>
      <c r="AA106" s="59"/>
      <c r="AB106" s="59"/>
    </row>
    <row r="107" spans="2:28" ht="12.5" hidden="1">
      <c r="B107" s="44"/>
      <c r="C107" s="44"/>
      <c r="D107" s="44"/>
      <c r="E107" s="44"/>
      <c r="F107" s="44"/>
      <c r="G107" s="44"/>
      <c r="H107" s="44"/>
      <c r="I107" s="44"/>
      <c r="J107" s="44"/>
      <c r="K107" s="44"/>
      <c r="L107" s="44"/>
      <c r="M107" s="44"/>
      <c r="N107" s="44"/>
      <c r="O107" s="44"/>
      <c r="P107" s="44"/>
      <c r="Q107" s="44"/>
      <c r="R107" s="44"/>
      <c r="S107" s="44"/>
      <c r="T107" s="59"/>
      <c r="U107" s="59"/>
      <c r="V107" s="59"/>
      <c r="W107" s="59"/>
      <c r="X107" s="59"/>
      <c r="Y107" s="59"/>
      <c r="Z107" s="59"/>
      <c r="AA107" s="59"/>
      <c r="AB107" s="59"/>
    </row>
    <row r="108" spans="2:28" ht="12.5" hidden="1">
      <c r="B108" s="44"/>
      <c r="C108" s="44"/>
      <c r="D108" s="44"/>
      <c r="E108" s="44"/>
      <c r="F108" s="44"/>
      <c r="G108" s="44"/>
      <c r="H108" s="44"/>
      <c r="I108" s="44"/>
      <c r="J108" s="44"/>
      <c r="K108" s="44"/>
      <c r="L108" s="44"/>
      <c r="M108" s="44"/>
      <c r="N108" s="44"/>
      <c r="O108" s="44"/>
      <c r="P108" s="44"/>
      <c r="Q108" s="44"/>
      <c r="R108" s="44"/>
      <c r="S108" s="44"/>
      <c r="T108" s="59"/>
      <c r="U108" s="59"/>
      <c r="V108" s="59"/>
      <c r="W108" s="59"/>
      <c r="X108" s="59"/>
      <c r="Y108" s="59"/>
      <c r="Z108" s="59"/>
      <c r="AA108" s="59"/>
      <c r="AB108" s="59"/>
    </row>
    <row r="109" spans="2:28" ht="12.5" hidden="1">
      <c r="B109" s="44"/>
      <c r="C109" s="44"/>
      <c r="D109" s="44"/>
      <c r="E109" s="44"/>
      <c r="F109" s="44"/>
      <c r="G109" s="44"/>
      <c r="H109" s="44"/>
      <c r="I109" s="44"/>
      <c r="J109" s="44"/>
      <c r="K109" s="44"/>
      <c r="L109" s="44"/>
      <c r="M109" s="44"/>
      <c r="N109" s="44"/>
      <c r="O109" s="44"/>
      <c r="P109" s="44"/>
      <c r="Q109" s="44"/>
      <c r="R109" s="44"/>
      <c r="S109" s="44"/>
      <c r="T109" s="59"/>
      <c r="U109" s="59"/>
      <c r="V109" s="59"/>
      <c r="W109" s="59"/>
      <c r="X109" s="59"/>
      <c r="Y109" s="59"/>
      <c r="Z109" s="59"/>
      <c r="AA109" s="59"/>
      <c r="AB109" s="59"/>
    </row>
    <row r="110" spans="2:28" ht="12.5" hidden="1">
      <c r="B110" s="44"/>
      <c r="C110" s="44"/>
      <c r="D110" s="44"/>
      <c r="E110" s="44"/>
      <c r="F110" s="44"/>
      <c r="G110" s="44"/>
      <c r="H110" s="44"/>
      <c r="I110" s="44"/>
      <c r="J110" s="44"/>
      <c r="K110" s="44"/>
      <c r="L110" s="44"/>
      <c r="M110" s="44"/>
      <c r="N110" s="44"/>
      <c r="O110" s="44"/>
      <c r="P110" s="44"/>
      <c r="Q110" s="44"/>
      <c r="R110" s="44"/>
      <c r="S110" s="44"/>
      <c r="T110" s="59"/>
      <c r="U110" s="59"/>
      <c r="V110" s="59"/>
      <c r="W110" s="59"/>
      <c r="X110" s="59"/>
      <c r="Y110" s="59"/>
      <c r="Z110" s="59"/>
      <c r="AA110" s="59"/>
      <c r="AB110" s="59"/>
    </row>
    <row r="111" spans="2:28" ht="12.5" hidden="1">
      <c r="B111" s="44"/>
      <c r="C111" s="44"/>
      <c r="D111" s="44"/>
      <c r="E111" s="44"/>
      <c r="F111" s="44"/>
      <c r="G111" s="44"/>
      <c r="H111" s="44"/>
      <c r="I111" s="44"/>
      <c r="J111" s="44"/>
      <c r="K111" s="44"/>
      <c r="L111" s="44"/>
      <c r="M111" s="44"/>
      <c r="N111" s="44"/>
      <c r="O111" s="44"/>
      <c r="P111" s="44"/>
      <c r="Q111" s="44"/>
      <c r="R111" s="44"/>
      <c r="S111" s="44"/>
      <c r="T111" s="59"/>
      <c r="U111" s="59"/>
      <c r="V111" s="59"/>
      <c r="W111" s="59"/>
      <c r="X111" s="59"/>
      <c r="Y111" s="59"/>
      <c r="Z111" s="59"/>
      <c r="AA111" s="59"/>
      <c r="AB111" s="59"/>
    </row>
    <row r="112" spans="2:28" ht="12.5" hidden="1">
      <c r="B112" s="44"/>
      <c r="C112" s="44"/>
      <c r="D112" s="44"/>
      <c r="E112" s="44"/>
      <c r="F112" s="44"/>
      <c r="G112" s="44"/>
      <c r="H112" s="44"/>
      <c r="I112" s="44"/>
      <c r="J112" s="44"/>
      <c r="K112" s="44"/>
      <c r="L112" s="44"/>
      <c r="M112" s="44"/>
      <c r="N112" s="44"/>
      <c r="O112" s="44"/>
      <c r="P112" s="44"/>
      <c r="Q112" s="44"/>
      <c r="R112" s="44"/>
      <c r="S112" s="44"/>
      <c r="T112" s="59"/>
      <c r="U112" s="59"/>
      <c r="V112" s="59"/>
      <c r="W112" s="59"/>
      <c r="X112" s="59"/>
      <c r="Y112" s="59"/>
      <c r="Z112" s="59"/>
      <c r="AA112" s="59"/>
      <c r="AB112" s="59"/>
    </row>
    <row r="113" spans="2:28" ht="12.5" hidden="1">
      <c r="B113" s="44"/>
      <c r="C113" s="44"/>
      <c r="D113" s="44"/>
      <c r="E113" s="44"/>
      <c r="F113" s="44"/>
      <c r="G113" s="44"/>
      <c r="H113" s="44"/>
      <c r="I113" s="44"/>
      <c r="J113" s="44"/>
      <c r="K113" s="44"/>
      <c r="L113" s="44"/>
      <c r="M113" s="44"/>
      <c r="N113" s="44"/>
      <c r="O113" s="44"/>
      <c r="P113" s="44"/>
      <c r="Q113" s="44"/>
      <c r="R113" s="44"/>
      <c r="S113" s="44"/>
      <c r="T113" s="59"/>
      <c r="U113" s="59"/>
      <c r="V113" s="59"/>
      <c r="W113" s="59"/>
      <c r="X113" s="59"/>
      <c r="Y113" s="59"/>
      <c r="Z113" s="59"/>
      <c r="AA113" s="59"/>
      <c r="AB113" s="59"/>
    </row>
    <row r="114" spans="2:28" ht="12.5" hidden="1">
      <c r="B114" s="44"/>
      <c r="C114" s="44"/>
      <c r="D114" s="44"/>
      <c r="E114" s="44"/>
      <c r="F114" s="44"/>
      <c r="G114" s="44"/>
      <c r="H114" s="44"/>
      <c r="I114" s="44"/>
      <c r="J114" s="44"/>
      <c r="K114" s="44"/>
      <c r="L114" s="44"/>
      <c r="M114" s="44"/>
      <c r="N114" s="44"/>
      <c r="O114" s="44"/>
      <c r="P114" s="44"/>
      <c r="Q114" s="44"/>
      <c r="R114" s="44"/>
      <c r="S114" s="44"/>
      <c r="T114" s="59"/>
      <c r="U114" s="59"/>
      <c r="V114" s="59"/>
      <c r="W114" s="59"/>
      <c r="X114" s="59"/>
      <c r="Y114" s="59"/>
      <c r="Z114" s="59"/>
      <c r="AA114" s="59"/>
      <c r="AB114" s="59"/>
    </row>
    <row r="115" spans="2:28" ht="12.5" hidden="1">
      <c r="B115" s="44"/>
      <c r="C115" s="44"/>
      <c r="D115" s="44"/>
      <c r="E115" s="44"/>
      <c r="F115" s="44"/>
      <c r="G115" s="44"/>
      <c r="H115" s="44"/>
      <c r="I115" s="44"/>
      <c r="J115" s="44"/>
      <c r="K115" s="44"/>
      <c r="L115" s="44"/>
      <c r="M115" s="44"/>
      <c r="N115" s="44"/>
      <c r="O115" s="44"/>
      <c r="P115" s="44"/>
      <c r="Q115" s="44"/>
      <c r="R115" s="44"/>
      <c r="S115" s="44"/>
      <c r="T115" s="59"/>
      <c r="U115" s="59"/>
      <c r="V115" s="59"/>
      <c r="W115" s="59"/>
      <c r="X115" s="59"/>
      <c r="Y115" s="59"/>
      <c r="Z115" s="59"/>
      <c r="AA115" s="59"/>
      <c r="AB115" s="59"/>
    </row>
    <row r="116" spans="2:28" ht="12.5" hidden="1">
      <c r="B116" s="44"/>
      <c r="C116" s="44"/>
      <c r="D116" s="44"/>
      <c r="E116" s="44"/>
      <c r="F116" s="44"/>
      <c r="G116" s="44"/>
      <c r="H116" s="44"/>
      <c r="I116" s="44"/>
      <c r="J116" s="44"/>
      <c r="K116" s="44"/>
      <c r="L116" s="44"/>
      <c r="M116" s="44"/>
      <c r="N116" s="44"/>
      <c r="O116" s="44"/>
      <c r="P116" s="44"/>
      <c r="Q116" s="44"/>
      <c r="R116" s="44"/>
      <c r="S116" s="44"/>
      <c r="T116" s="59"/>
      <c r="U116" s="59"/>
      <c r="V116" s="59"/>
      <c r="W116" s="59"/>
      <c r="X116" s="59"/>
      <c r="Y116" s="59"/>
      <c r="Z116" s="59"/>
      <c r="AA116" s="59"/>
      <c r="AB116" s="59"/>
    </row>
    <row r="117" spans="2:28" ht="12.5" hidden="1">
      <c r="B117" s="44"/>
      <c r="C117" s="44"/>
      <c r="D117" s="44"/>
      <c r="E117" s="44"/>
      <c r="F117" s="44"/>
      <c r="G117" s="44"/>
      <c r="H117" s="44"/>
      <c r="I117" s="44"/>
      <c r="J117" s="44"/>
      <c r="K117" s="44"/>
      <c r="L117" s="44"/>
      <c r="M117" s="44"/>
      <c r="N117" s="44"/>
      <c r="O117" s="44"/>
      <c r="P117" s="44"/>
      <c r="Q117" s="44"/>
      <c r="R117" s="44"/>
      <c r="S117" s="44"/>
      <c r="T117" s="59"/>
      <c r="U117" s="59"/>
      <c r="V117" s="59"/>
      <c r="W117" s="59"/>
      <c r="X117" s="59"/>
      <c r="Y117" s="59"/>
      <c r="Z117" s="59"/>
      <c r="AA117" s="59"/>
      <c r="AB117" s="59"/>
    </row>
    <row r="118" spans="2:28" ht="12.5" hidden="1">
      <c r="B118" s="44"/>
      <c r="C118" s="44"/>
      <c r="D118" s="44"/>
      <c r="E118" s="44"/>
      <c r="F118" s="44"/>
      <c r="G118" s="44"/>
      <c r="H118" s="44"/>
      <c r="I118" s="44"/>
      <c r="J118" s="44"/>
      <c r="K118" s="44"/>
      <c r="L118" s="44"/>
      <c r="M118" s="44"/>
      <c r="N118" s="44"/>
      <c r="O118" s="44"/>
      <c r="P118" s="44"/>
      <c r="Q118" s="44"/>
      <c r="R118" s="44"/>
      <c r="S118" s="44"/>
      <c r="T118" s="59"/>
      <c r="U118" s="59"/>
      <c r="V118" s="59"/>
      <c r="W118" s="59"/>
      <c r="X118" s="59"/>
      <c r="Y118" s="59"/>
      <c r="Z118" s="59"/>
      <c r="AA118" s="59"/>
      <c r="AB118" s="59"/>
    </row>
    <row r="119" spans="2:28" ht="12.5" hidden="1">
      <c r="B119" s="44"/>
      <c r="C119" s="44"/>
      <c r="D119" s="44"/>
      <c r="E119" s="44"/>
      <c r="F119" s="44"/>
      <c r="G119" s="44"/>
      <c r="H119" s="44"/>
      <c r="I119" s="44"/>
      <c r="J119" s="44"/>
      <c r="K119" s="44"/>
      <c r="L119" s="44"/>
      <c r="M119" s="44"/>
      <c r="N119" s="44"/>
      <c r="O119" s="44"/>
      <c r="P119" s="44"/>
      <c r="Q119" s="44"/>
      <c r="R119" s="44"/>
      <c r="S119" s="44"/>
      <c r="T119" s="59"/>
      <c r="U119" s="59"/>
      <c r="V119" s="59"/>
      <c r="W119" s="59"/>
      <c r="X119" s="59"/>
      <c r="Y119" s="59"/>
      <c r="Z119" s="59"/>
      <c r="AA119" s="59"/>
      <c r="AB119" s="59"/>
    </row>
    <row r="120" spans="2:28" ht="12.5" hidden="1">
      <c r="B120" s="44"/>
      <c r="C120" s="44"/>
      <c r="D120" s="44"/>
      <c r="E120" s="44"/>
      <c r="F120" s="44"/>
      <c r="G120" s="44"/>
      <c r="H120" s="44"/>
      <c r="I120" s="44"/>
      <c r="J120" s="44"/>
      <c r="K120" s="44"/>
      <c r="L120" s="44"/>
      <c r="M120" s="44"/>
      <c r="N120" s="44"/>
      <c r="O120" s="44"/>
      <c r="P120" s="44"/>
      <c r="Q120" s="44"/>
      <c r="R120" s="44"/>
      <c r="S120" s="44"/>
      <c r="T120" s="59"/>
      <c r="U120" s="59"/>
      <c r="V120" s="59"/>
      <c r="W120" s="59"/>
      <c r="X120" s="59"/>
      <c r="Y120" s="59"/>
      <c r="Z120" s="59"/>
      <c r="AA120" s="59"/>
      <c r="AB120" s="59"/>
    </row>
    <row r="121" spans="2:28" ht="12.5" hidden="1">
      <c r="B121" s="44"/>
      <c r="C121" s="44"/>
      <c r="D121" s="44"/>
      <c r="E121" s="44"/>
      <c r="F121" s="44"/>
      <c r="G121" s="44"/>
      <c r="H121" s="44"/>
      <c r="I121" s="44"/>
      <c r="J121" s="44"/>
      <c r="K121" s="44"/>
      <c r="L121" s="44"/>
      <c r="M121" s="44"/>
      <c r="N121" s="44"/>
      <c r="O121" s="44"/>
      <c r="P121" s="44"/>
      <c r="Q121" s="44"/>
      <c r="R121" s="44"/>
      <c r="S121" s="44"/>
      <c r="T121" s="59"/>
      <c r="U121" s="59"/>
      <c r="V121" s="59"/>
      <c r="W121" s="59"/>
      <c r="X121" s="59"/>
      <c r="Y121" s="59"/>
      <c r="Z121" s="59"/>
      <c r="AA121" s="59"/>
      <c r="AB121" s="59"/>
    </row>
    <row r="122" spans="2:28" ht="12.5" hidden="1">
      <c r="B122" s="44"/>
      <c r="C122" s="44"/>
      <c r="D122" s="44"/>
      <c r="E122" s="44"/>
      <c r="F122" s="44"/>
      <c r="G122" s="44"/>
      <c r="H122" s="44"/>
      <c r="I122" s="44"/>
      <c r="J122" s="44"/>
      <c r="K122" s="44"/>
      <c r="L122" s="44"/>
      <c r="M122" s="44"/>
      <c r="N122" s="44"/>
      <c r="O122" s="44"/>
      <c r="P122" s="44"/>
      <c r="Q122" s="44"/>
      <c r="R122" s="44"/>
      <c r="S122" s="44"/>
      <c r="T122" s="59"/>
      <c r="U122" s="59"/>
      <c r="V122" s="59"/>
      <c r="W122" s="59"/>
      <c r="X122" s="59"/>
      <c r="Y122" s="59"/>
      <c r="Z122" s="59"/>
      <c r="AA122" s="59"/>
      <c r="AB122" s="59"/>
    </row>
    <row r="123" spans="2:28" ht="12.5" hidden="1">
      <c r="B123" s="44"/>
      <c r="C123" s="44"/>
      <c r="D123" s="44"/>
      <c r="E123" s="44"/>
      <c r="F123" s="44"/>
      <c r="G123" s="44"/>
      <c r="H123" s="44"/>
      <c r="I123" s="44"/>
      <c r="J123" s="44"/>
      <c r="K123" s="44"/>
      <c r="L123" s="44"/>
      <c r="M123" s="44"/>
      <c r="N123" s="44"/>
      <c r="O123" s="44"/>
      <c r="P123" s="44"/>
      <c r="Q123" s="44"/>
      <c r="R123" s="44"/>
      <c r="S123" s="44"/>
      <c r="T123" s="59"/>
      <c r="U123" s="59"/>
      <c r="V123" s="59"/>
      <c r="W123" s="59"/>
      <c r="X123" s="59"/>
      <c r="Y123" s="59"/>
      <c r="Z123" s="59"/>
      <c r="AA123" s="59"/>
      <c r="AB123" s="59"/>
    </row>
    <row r="124" spans="2:28" ht="12.5" hidden="1">
      <c r="B124" s="44"/>
      <c r="C124" s="44"/>
      <c r="D124" s="44"/>
      <c r="E124" s="44"/>
      <c r="F124" s="44"/>
      <c r="G124" s="44"/>
      <c r="H124" s="44"/>
      <c r="I124" s="44"/>
      <c r="J124" s="44"/>
      <c r="K124" s="44"/>
      <c r="L124" s="44"/>
      <c r="M124" s="44"/>
      <c r="N124" s="44"/>
      <c r="O124" s="44"/>
      <c r="P124" s="44"/>
      <c r="Q124" s="44"/>
      <c r="R124" s="44"/>
      <c r="S124" s="44"/>
      <c r="T124" s="59"/>
      <c r="U124" s="59"/>
      <c r="V124" s="59"/>
      <c r="W124" s="59"/>
      <c r="X124" s="59"/>
      <c r="Y124" s="59"/>
      <c r="Z124" s="59"/>
      <c r="AA124" s="59"/>
      <c r="AB124" s="59"/>
    </row>
    <row r="125" spans="2:28" ht="12.5" hidden="1">
      <c r="B125" s="44"/>
      <c r="C125" s="44"/>
      <c r="D125" s="44"/>
      <c r="E125" s="44"/>
      <c r="F125" s="44"/>
      <c r="G125" s="44"/>
      <c r="H125" s="44"/>
      <c r="I125" s="44"/>
      <c r="J125" s="44"/>
      <c r="K125" s="44"/>
      <c r="L125" s="44"/>
      <c r="M125" s="44"/>
      <c r="N125" s="44"/>
      <c r="O125" s="44"/>
      <c r="P125" s="44"/>
      <c r="Q125" s="44"/>
      <c r="R125" s="44"/>
      <c r="S125" s="44"/>
      <c r="T125" s="59"/>
      <c r="U125" s="59"/>
      <c r="V125" s="59"/>
      <c r="W125" s="59"/>
      <c r="X125" s="59"/>
      <c r="Y125" s="59"/>
      <c r="Z125" s="59"/>
      <c r="AA125" s="59"/>
      <c r="AB125" s="59"/>
    </row>
    <row r="126" spans="2:28" ht="12.5" hidden="1">
      <c r="B126" s="44"/>
      <c r="C126" s="44"/>
      <c r="D126" s="44"/>
      <c r="E126" s="44"/>
      <c r="F126" s="44"/>
      <c r="G126" s="44"/>
      <c r="H126" s="44"/>
      <c r="I126" s="44"/>
      <c r="J126" s="44"/>
      <c r="K126" s="44"/>
      <c r="L126" s="44"/>
      <c r="M126" s="44"/>
      <c r="N126" s="44"/>
      <c r="O126" s="44"/>
      <c r="P126" s="44"/>
      <c r="Q126" s="44"/>
      <c r="R126" s="44"/>
      <c r="S126" s="44"/>
      <c r="T126" s="59"/>
      <c r="U126" s="59"/>
      <c r="V126" s="59"/>
      <c r="W126" s="59"/>
      <c r="X126" s="59"/>
      <c r="Y126" s="59"/>
      <c r="Z126" s="59"/>
      <c r="AA126" s="59"/>
      <c r="AB126" s="59"/>
    </row>
    <row r="127" spans="2:28" ht="12.5" hidden="1">
      <c r="B127" s="44"/>
      <c r="C127" s="44"/>
      <c r="D127" s="44"/>
      <c r="E127" s="44"/>
      <c r="F127" s="44"/>
      <c r="G127" s="44"/>
      <c r="H127" s="44"/>
      <c r="I127" s="44"/>
      <c r="J127" s="44"/>
      <c r="K127" s="44"/>
      <c r="L127" s="44"/>
      <c r="M127" s="44"/>
      <c r="N127" s="44"/>
      <c r="O127" s="44"/>
      <c r="P127" s="44"/>
      <c r="Q127" s="44"/>
      <c r="R127" s="44"/>
      <c r="S127" s="44"/>
      <c r="T127" s="59"/>
      <c r="U127" s="59"/>
      <c r="V127" s="59"/>
      <c r="W127" s="59"/>
      <c r="X127" s="59"/>
      <c r="Y127" s="59"/>
      <c r="Z127" s="59"/>
      <c r="AA127" s="59"/>
      <c r="AB127" s="59"/>
    </row>
    <row r="128" spans="2:28" ht="12.5" hidden="1">
      <c r="B128" s="44"/>
      <c r="C128" s="44"/>
      <c r="D128" s="44"/>
      <c r="E128" s="44"/>
      <c r="F128" s="44"/>
      <c r="G128" s="44"/>
      <c r="H128" s="44"/>
      <c r="I128" s="44"/>
      <c r="J128" s="44"/>
      <c r="K128" s="44"/>
      <c r="L128" s="44"/>
      <c r="M128" s="44"/>
      <c r="N128" s="44"/>
      <c r="O128" s="44"/>
      <c r="P128" s="44"/>
      <c r="Q128" s="44"/>
      <c r="R128" s="44"/>
      <c r="S128" s="44"/>
      <c r="T128" s="59"/>
      <c r="U128" s="59"/>
      <c r="V128" s="59"/>
      <c r="W128" s="59"/>
      <c r="X128" s="59"/>
      <c r="Y128" s="59"/>
      <c r="Z128" s="59"/>
      <c r="AA128" s="59"/>
      <c r="AB128" s="59"/>
    </row>
    <row r="129" spans="2:28" ht="12.5" hidden="1">
      <c r="B129" s="44"/>
      <c r="C129" s="44"/>
      <c r="D129" s="44"/>
      <c r="E129" s="44"/>
      <c r="F129" s="44"/>
      <c r="G129" s="44"/>
      <c r="H129" s="44"/>
      <c r="I129" s="44"/>
      <c r="J129" s="44"/>
      <c r="K129" s="44"/>
      <c r="L129" s="44"/>
      <c r="M129" s="44"/>
      <c r="N129" s="44"/>
      <c r="O129" s="44"/>
      <c r="P129" s="44"/>
      <c r="Q129" s="44"/>
      <c r="R129" s="44"/>
      <c r="S129" s="44"/>
      <c r="T129" s="59"/>
      <c r="U129" s="59"/>
      <c r="V129" s="59"/>
      <c r="W129" s="59"/>
      <c r="X129" s="59"/>
      <c r="Y129" s="59"/>
      <c r="Z129" s="59"/>
      <c r="AA129" s="59"/>
      <c r="AB129" s="59"/>
    </row>
    <row r="130" spans="2:28" ht="12.5" hidden="1">
      <c r="B130" s="44"/>
      <c r="C130" s="44"/>
      <c r="D130" s="44"/>
      <c r="E130" s="44"/>
      <c r="F130" s="44"/>
      <c r="G130" s="44"/>
      <c r="H130" s="44"/>
      <c r="I130" s="44"/>
      <c r="J130" s="44"/>
      <c r="K130" s="44"/>
      <c r="L130" s="44"/>
      <c r="M130" s="44"/>
      <c r="N130" s="44"/>
      <c r="O130" s="44"/>
      <c r="P130" s="44"/>
      <c r="Q130" s="44"/>
      <c r="R130" s="44"/>
      <c r="S130" s="44"/>
      <c r="T130" s="59"/>
      <c r="U130" s="59"/>
      <c r="V130" s="59"/>
      <c r="W130" s="59"/>
      <c r="X130" s="59"/>
      <c r="Y130" s="59"/>
      <c r="Z130" s="59"/>
      <c r="AA130" s="59"/>
      <c r="AB130" s="59"/>
    </row>
    <row r="131" spans="2:28" ht="12.5" hidden="1">
      <c r="B131" s="44"/>
      <c r="C131" s="44"/>
      <c r="D131" s="44"/>
      <c r="E131" s="44"/>
      <c r="F131" s="44"/>
      <c r="G131" s="44"/>
      <c r="H131" s="44"/>
      <c r="I131" s="44"/>
      <c r="J131" s="44"/>
      <c r="K131" s="44"/>
      <c r="L131" s="44"/>
      <c r="M131" s="44"/>
      <c r="N131" s="44"/>
      <c r="O131" s="44"/>
      <c r="P131" s="44"/>
      <c r="Q131" s="44"/>
      <c r="R131" s="44"/>
      <c r="S131" s="44"/>
      <c r="T131" s="59"/>
      <c r="U131" s="59"/>
      <c r="V131" s="59"/>
      <c r="W131" s="59"/>
      <c r="X131" s="59"/>
      <c r="Y131" s="59"/>
      <c r="Z131" s="59"/>
      <c r="AA131" s="59"/>
      <c r="AB131" s="59"/>
    </row>
    <row r="132" spans="2:28" ht="12.5" hidden="1">
      <c r="B132" s="44"/>
      <c r="C132" s="44"/>
      <c r="D132" s="44"/>
      <c r="E132" s="44"/>
      <c r="F132" s="44"/>
      <c r="G132" s="44"/>
      <c r="H132" s="44"/>
      <c r="I132" s="44"/>
      <c r="J132" s="44"/>
      <c r="K132" s="44"/>
      <c r="L132" s="44"/>
      <c r="M132" s="44"/>
      <c r="N132" s="44"/>
      <c r="O132" s="44"/>
      <c r="P132" s="44"/>
      <c r="Q132" s="44"/>
      <c r="R132" s="44"/>
      <c r="S132" s="44"/>
      <c r="T132" s="59"/>
      <c r="U132" s="59"/>
      <c r="V132" s="59"/>
      <c r="W132" s="59"/>
      <c r="X132" s="59"/>
      <c r="Y132" s="59"/>
      <c r="Z132" s="59"/>
      <c r="AA132" s="59"/>
      <c r="AB132" s="59"/>
    </row>
    <row r="133" spans="2:28" ht="12.5" hidden="1">
      <c r="B133" s="44"/>
      <c r="C133" s="44"/>
      <c r="D133" s="44"/>
      <c r="E133" s="44"/>
      <c r="F133" s="44"/>
      <c r="G133" s="44"/>
      <c r="H133" s="44"/>
      <c r="I133" s="44"/>
      <c r="J133" s="44"/>
      <c r="K133" s="44"/>
      <c r="L133" s="44"/>
      <c r="M133" s="44"/>
      <c r="N133" s="44"/>
      <c r="O133" s="44"/>
      <c r="P133" s="44"/>
      <c r="Q133" s="44"/>
      <c r="R133" s="44"/>
      <c r="S133" s="44"/>
      <c r="T133" s="59"/>
      <c r="U133" s="59"/>
      <c r="V133" s="59"/>
      <c r="W133" s="59"/>
      <c r="X133" s="59"/>
      <c r="Y133" s="59"/>
      <c r="Z133" s="59"/>
      <c r="AA133" s="59"/>
      <c r="AB133" s="59"/>
    </row>
    <row r="134" spans="2:28" ht="12.5" hidden="1">
      <c r="B134" s="44"/>
      <c r="C134" s="44"/>
      <c r="D134" s="44"/>
      <c r="E134" s="44"/>
      <c r="F134" s="44"/>
      <c r="G134" s="44"/>
      <c r="H134" s="44"/>
      <c r="I134" s="44"/>
      <c r="J134" s="44"/>
      <c r="K134" s="44"/>
      <c r="L134" s="44"/>
      <c r="M134" s="44"/>
      <c r="N134" s="44"/>
      <c r="O134" s="44"/>
      <c r="P134" s="44"/>
      <c r="Q134" s="44"/>
      <c r="R134" s="44"/>
      <c r="S134" s="44"/>
      <c r="T134" s="59"/>
      <c r="U134" s="59"/>
      <c r="V134" s="59"/>
      <c r="W134" s="59"/>
      <c r="X134" s="59"/>
      <c r="Y134" s="59"/>
      <c r="Z134" s="59"/>
      <c r="AA134" s="59"/>
      <c r="AB134" s="59"/>
    </row>
    <row r="135" spans="2:28" ht="12.5" hidden="1">
      <c r="B135" s="44"/>
      <c r="C135" s="44"/>
      <c r="D135" s="44"/>
      <c r="E135" s="44"/>
      <c r="F135" s="44"/>
      <c r="G135" s="44"/>
      <c r="H135" s="44"/>
      <c r="I135" s="44"/>
      <c r="J135" s="44"/>
      <c r="K135" s="44"/>
      <c r="L135" s="44"/>
      <c r="M135" s="44"/>
      <c r="N135" s="44"/>
      <c r="O135" s="44"/>
      <c r="P135" s="44"/>
      <c r="Q135" s="44"/>
      <c r="R135" s="44"/>
      <c r="S135" s="44"/>
      <c r="T135" s="59"/>
      <c r="U135" s="59"/>
      <c r="V135" s="59"/>
      <c r="W135" s="59"/>
      <c r="X135" s="59"/>
      <c r="Y135" s="59"/>
      <c r="Z135" s="59"/>
      <c r="AA135" s="59"/>
      <c r="AB135" s="59"/>
    </row>
    <row r="136" spans="2:28" ht="12.5" hidden="1">
      <c r="B136" s="44"/>
      <c r="C136" s="44"/>
      <c r="D136" s="44"/>
      <c r="E136" s="44"/>
      <c r="F136" s="44"/>
      <c r="G136" s="44"/>
      <c r="H136" s="44"/>
      <c r="I136" s="44"/>
      <c r="J136" s="44"/>
      <c r="K136" s="44"/>
      <c r="L136" s="44"/>
      <c r="M136" s="44"/>
      <c r="N136" s="44"/>
      <c r="O136" s="44"/>
      <c r="P136" s="44"/>
      <c r="Q136" s="44"/>
      <c r="R136" s="44"/>
      <c r="S136" s="44"/>
      <c r="T136" s="59"/>
      <c r="U136" s="59"/>
      <c r="V136" s="59"/>
      <c r="W136" s="59"/>
      <c r="X136" s="59"/>
      <c r="Y136" s="59"/>
      <c r="Z136" s="59"/>
      <c r="AA136" s="59"/>
      <c r="AB136" s="59"/>
    </row>
    <row r="137" spans="2:28" ht="12.5" hidden="1">
      <c r="B137" s="44"/>
      <c r="C137" s="44"/>
      <c r="D137" s="44"/>
      <c r="E137" s="44"/>
      <c r="F137" s="44"/>
      <c r="G137" s="44"/>
      <c r="H137" s="44"/>
      <c r="I137" s="44"/>
      <c r="J137" s="44"/>
      <c r="K137" s="44"/>
      <c r="L137" s="44"/>
      <c r="M137" s="44"/>
      <c r="N137" s="44"/>
      <c r="O137" s="44"/>
      <c r="P137" s="44"/>
      <c r="Q137" s="44"/>
      <c r="R137" s="44"/>
      <c r="S137" s="44"/>
      <c r="T137" s="59"/>
      <c r="U137" s="59"/>
      <c r="V137" s="59"/>
      <c r="W137" s="59"/>
      <c r="X137" s="59"/>
      <c r="Y137" s="59"/>
      <c r="Z137" s="59"/>
      <c r="AA137" s="59"/>
      <c r="AB137" s="59"/>
    </row>
    <row r="138" spans="2:28" ht="12.5" hidden="1">
      <c r="B138" s="44"/>
      <c r="C138" s="44"/>
      <c r="D138" s="44"/>
      <c r="E138" s="44"/>
      <c r="F138" s="44"/>
      <c r="G138" s="44"/>
      <c r="H138" s="44"/>
      <c r="I138" s="44"/>
      <c r="J138" s="44"/>
      <c r="K138" s="44"/>
      <c r="L138" s="44"/>
      <c r="M138" s="44"/>
      <c r="N138" s="44"/>
      <c r="O138" s="44"/>
      <c r="P138" s="44"/>
      <c r="Q138" s="44"/>
      <c r="R138" s="44"/>
      <c r="S138" s="44"/>
      <c r="T138" s="59"/>
      <c r="U138" s="59"/>
      <c r="V138" s="59"/>
      <c r="W138" s="59"/>
      <c r="X138" s="59"/>
      <c r="Y138" s="59"/>
      <c r="Z138" s="59"/>
      <c r="AA138" s="59"/>
      <c r="AB138" s="59"/>
    </row>
    <row r="139" spans="2:28" ht="12.5" hidden="1">
      <c r="B139" s="44"/>
      <c r="C139" s="44"/>
      <c r="D139" s="44"/>
      <c r="E139" s="44"/>
      <c r="F139" s="44"/>
      <c r="G139" s="44"/>
      <c r="H139" s="44"/>
      <c r="I139" s="44"/>
      <c r="J139" s="44"/>
      <c r="K139" s="44"/>
      <c r="L139" s="44"/>
      <c r="M139" s="44"/>
      <c r="N139" s="44"/>
      <c r="O139" s="44"/>
      <c r="P139" s="44"/>
      <c r="Q139" s="44"/>
      <c r="R139" s="44"/>
      <c r="S139" s="44"/>
      <c r="T139" s="59"/>
      <c r="U139" s="59"/>
      <c r="V139" s="59"/>
      <c r="W139" s="59"/>
      <c r="X139" s="59"/>
      <c r="Y139" s="59"/>
      <c r="Z139" s="59"/>
      <c r="AA139" s="59"/>
      <c r="AB139" s="59"/>
    </row>
    <row r="140" spans="2:28" ht="12.5" hidden="1">
      <c r="B140" s="44"/>
      <c r="C140" s="44"/>
      <c r="D140" s="44"/>
      <c r="E140" s="44"/>
      <c r="F140" s="44"/>
      <c r="G140" s="44"/>
      <c r="H140" s="44"/>
      <c r="I140" s="44"/>
      <c r="J140" s="44"/>
      <c r="K140" s="44"/>
      <c r="L140" s="44"/>
      <c r="M140" s="44"/>
      <c r="N140" s="44"/>
      <c r="O140" s="44"/>
      <c r="P140" s="44"/>
      <c r="Q140" s="44"/>
      <c r="R140" s="44"/>
      <c r="S140" s="44"/>
      <c r="T140" s="59"/>
      <c r="U140" s="59"/>
      <c r="V140" s="59"/>
      <c r="W140" s="59"/>
      <c r="X140" s="59"/>
      <c r="Y140" s="59"/>
      <c r="Z140" s="59"/>
      <c r="AA140" s="59"/>
      <c r="AB140" s="59"/>
    </row>
    <row r="141" spans="2:28" ht="12.5" hidden="1">
      <c r="B141" s="44"/>
      <c r="C141" s="44"/>
      <c r="D141" s="44"/>
      <c r="E141" s="44"/>
      <c r="F141" s="44"/>
      <c r="G141" s="44"/>
      <c r="H141" s="44"/>
      <c r="I141" s="44"/>
      <c r="J141" s="44"/>
      <c r="K141" s="44"/>
      <c r="L141" s="44"/>
      <c r="M141" s="44"/>
      <c r="N141" s="44"/>
      <c r="O141" s="44"/>
      <c r="P141" s="44"/>
      <c r="Q141" s="44"/>
      <c r="R141" s="44"/>
      <c r="S141" s="44"/>
      <c r="T141" s="59"/>
      <c r="U141" s="59"/>
      <c r="V141" s="59"/>
      <c r="W141" s="59"/>
      <c r="X141" s="59"/>
      <c r="Y141" s="59"/>
      <c r="Z141" s="59"/>
      <c r="AA141" s="59"/>
      <c r="AB141" s="59"/>
    </row>
    <row r="142" spans="2:28" ht="12.5" hidden="1">
      <c r="B142" s="44"/>
      <c r="C142" s="44"/>
      <c r="D142" s="44"/>
      <c r="E142" s="44"/>
      <c r="F142" s="44"/>
      <c r="G142" s="44"/>
      <c r="H142" s="44"/>
      <c r="I142" s="44"/>
      <c r="J142" s="44"/>
      <c r="K142" s="44"/>
      <c r="L142" s="44"/>
      <c r="M142" s="44"/>
      <c r="N142" s="44"/>
      <c r="O142" s="44"/>
      <c r="P142" s="44"/>
      <c r="Q142" s="44"/>
      <c r="R142" s="44"/>
      <c r="S142" s="44"/>
      <c r="T142" s="59"/>
      <c r="U142" s="59"/>
      <c r="V142" s="59"/>
      <c r="W142" s="59"/>
      <c r="X142" s="59"/>
      <c r="Y142" s="59"/>
      <c r="Z142" s="59"/>
      <c r="AA142" s="59"/>
      <c r="AB142" s="59"/>
    </row>
    <row r="143" spans="2:28" ht="12.5" hidden="1">
      <c r="B143" s="44"/>
      <c r="C143" s="44"/>
      <c r="D143" s="44"/>
      <c r="E143" s="44"/>
      <c r="F143" s="44"/>
      <c r="G143" s="44"/>
      <c r="H143" s="44"/>
      <c r="I143" s="44"/>
      <c r="J143" s="44"/>
      <c r="K143" s="44"/>
      <c r="L143" s="44"/>
      <c r="M143" s="44"/>
      <c r="N143" s="44"/>
      <c r="O143" s="44"/>
      <c r="P143" s="44"/>
      <c r="Q143" s="44"/>
      <c r="R143" s="44"/>
      <c r="S143" s="44"/>
      <c r="T143" s="59"/>
      <c r="U143" s="59"/>
      <c r="V143" s="59"/>
      <c r="W143" s="59"/>
      <c r="X143" s="59"/>
      <c r="Y143" s="59"/>
      <c r="Z143" s="59"/>
      <c r="AA143" s="59"/>
      <c r="AB143" s="59"/>
    </row>
    <row r="144" spans="2:28" ht="12.5" hidden="1">
      <c r="B144" s="44"/>
      <c r="C144" s="44"/>
      <c r="D144" s="44"/>
      <c r="E144" s="44"/>
      <c r="F144" s="44"/>
      <c r="G144" s="44"/>
      <c r="H144" s="44"/>
      <c r="I144" s="44"/>
      <c r="J144" s="44"/>
      <c r="K144" s="44"/>
      <c r="L144" s="44"/>
      <c r="M144" s="44"/>
      <c r="N144" s="44"/>
      <c r="O144" s="44"/>
      <c r="P144" s="44"/>
      <c r="Q144" s="44"/>
      <c r="R144" s="44"/>
      <c r="S144" s="44"/>
      <c r="T144" s="59"/>
      <c r="U144" s="59"/>
      <c r="V144" s="59"/>
      <c r="W144" s="59"/>
      <c r="X144" s="59"/>
      <c r="Y144" s="59"/>
      <c r="Z144" s="59"/>
      <c r="AA144" s="59"/>
      <c r="AB144" s="59"/>
    </row>
    <row r="145" spans="2:28" ht="12.5" hidden="1">
      <c r="B145" s="44"/>
      <c r="C145" s="44"/>
      <c r="D145" s="44"/>
      <c r="E145" s="44"/>
      <c r="F145" s="44"/>
      <c r="G145" s="44"/>
      <c r="H145" s="44"/>
      <c r="I145" s="44"/>
      <c r="J145" s="44"/>
      <c r="K145" s="44"/>
      <c r="L145" s="44"/>
      <c r="M145" s="44"/>
      <c r="N145" s="44"/>
      <c r="O145" s="44"/>
      <c r="P145" s="44"/>
      <c r="Q145" s="44"/>
      <c r="R145" s="44"/>
      <c r="S145" s="44"/>
      <c r="T145" s="59"/>
      <c r="U145" s="59"/>
      <c r="V145" s="59"/>
      <c r="W145" s="59"/>
      <c r="X145" s="59"/>
      <c r="Y145" s="59"/>
      <c r="Z145" s="59"/>
      <c r="AA145" s="59"/>
      <c r="AB145" s="59"/>
    </row>
    <row r="146" spans="2:28" ht="12.5" hidden="1">
      <c r="B146" s="44"/>
      <c r="C146" s="44"/>
      <c r="D146" s="44"/>
      <c r="E146" s="44"/>
      <c r="F146" s="44"/>
      <c r="G146" s="44"/>
      <c r="H146" s="44"/>
      <c r="I146" s="44"/>
      <c r="J146" s="44"/>
      <c r="K146" s="44"/>
      <c r="L146" s="44"/>
      <c r="M146" s="44"/>
      <c r="N146" s="44"/>
      <c r="O146" s="44"/>
      <c r="P146" s="44"/>
      <c r="Q146" s="44"/>
      <c r="R146" s="44"/>
      <c r="S146" s="44"/>
      <c r="T146" s="59"/>
      <c r="U146" s="59"/>
      <c r="V146" s="59"/>
      <c r="W146" s="59"/>
      <c r="X146" s="59"/>
      <c r="Y146" s="59"/>
      <c r="Z146" s="59"/>
      <c r="AA146" s="59"/>
      <c r="AB146" s="59"/>
    </row>
    <row r="147" spans="2:28" ht="12.5" hidden="1">
      <c r="B147" s="44"/>
      <c r="C147" s="44"/>
      <c r="D147" s="44"/>
      <c r="E147" s="44"/>
      <c r="F147" s="44"/>
      <c r="G147" s="44"/>
      <c r="H147" s="44"/>
      <c r="I147" s="44"/>
      <c r="J147" s="44"/>
      <c r="K147" s="44"/>
      <c r="L147" s="44"/>
      <c r="M147" s="44"/>
      <c r="N147" s="44"/>
      <c r="O147" s="44"/>
      <c r="P147" s="44"/>
      <c r="Q147" s="44"/>
      <c r="R147" s="44"/>
      <c r="S147" s="44"/>
      <c r="T147" s="59"/>
      <c r="U147" s="59"/>
      <c r="V147" s="59"/>
      <c r="W147" s="59"/>
      <c r="X147" s="59"/>
      <c r="Y147" s="59"/>
      <c r="Z147" s="59"/>
      <c r="AA147" s="59"/>
      <c r="AB147" s="59"/>
    </row>
    <row r="148" spans="2:28" ht="12.5" hidden="1">
      <c r="B148" s="44"/>
      <c r="C148" s="44"/>
      <c r="D148" s="44"/>
      <c r="E148" s="44"/>
      <c r="F148" s="44"/>
      <c r="G148" s="44"/>
      <c r="H148" s="44"/>
      <c r="I148" s="44"/>
      <c r="J148" s="44"/>
      <c r="K148" s="44"/>
      <c r="L148" s="44"/>
      <c r="M148" s="44"/>
      <c r="N148" s="44"/>
      <c r="O148" s="44"/>
      <c r="P148" s="44"/>
      <c r="Q148" s="44"/>
      <c r="R148" s="44"/>
      <c r="S148" s="44"/>
      <c r="T148" s="59"/>
      <c r="U148" s="59"/>
      <c r="V148" s="59"/>
      <c r="W148" s="59"/>
      <c r="X148" s="59"/>
      <c r="Y148" s="59"/>
      <c r="Z148" s="59"/>
      <c r="AA148" s="59"/>
      <c r="AB148" s="59"/>
    </row>
    <row r="149" spans="2:28" ht="12.5" hidden="1">
      <c r="B149" s="44"/>
      <c r="C149" s="44"/>
      <c r="D149" s="44"/>
      <c r="E149" s="44"/>
      <c r="F149" s="44"/>
      <c r="G149" s="44"/>
      <c r="H149" s="44"/>
      <c r="I149" s="44"/>
      <c r="J149" s="44"/>
      <c r="K149" s="44"/>
      <c r="L149" s="44"/>
      <c r="M149" s="44"/>
      <c r="N149" s="44"/>
      <c r="O149" s="44"/>
      <c r="P149" s="44"/>
      <c r="Q149" s="44"/>
      <c r="R149" s="44"/>
      <c r="S149" s="44"/>
      <c r="T149" s="59"/>
      <c r="U149" s="59"/>
      <c r="V149" s="59"/>
      <c r="W149" s="59"/>
      <c r="X149" s="59"/>
      <c r="Y149" s="59"/>
      <c r="Z149" s="59"/>
      <c r="AA149" s="59"/>
      <c r="AB149" s="59"/>
    </row>
    <row r="150" spans="2:28" ht="12.5" hidden="1">
      <c r="B150" s="44"/>
      <c r="C150" s="44"/>
      <c r="D150" s="44"/>
      <c r="E150" s="44"/>
      <c r="F150" s="44"/>
      <c r="G150" s="44"/>
      <c r="H150" s="44"/>
      <c r="I150" s="44"/>
      <c r="J150" s="44"/>
      <c r="K150" s="44"/>
      <c r="L150" s="44"/>
      <c r="M150" s="44"/>
      <c r="N150" s="44"/>
      <c r="O150" s="44"/>
      <c r="P150" s="44"/>
      <c r="Q150" s="44"/>
      <c r="R150" s="44"/>
      <c r="S150" s="44"/>
      <c r="T150" s="59"/>
      <c r="U150" s="59"/>
      <c r="V150" s="59"/>
      <c r="W150" s="59"/>
      <c r="X150" s="59"/>
      <c r="Y150" s="59"/>
      <c r="Z150" s="59"/>
      <c r="AA150" s="59"/>
      <c r="AB150" s="59"/>
    </row>
    <row r="151" spans="2:28" ht="12.5" hidden="1">
      <c r="B151" s="44"/>
      <c r="C151" s="44"/>
      <c r="D151" s="44"/>
      <c r="E151" s="44"/>
      <c r="F151" s="44"/>
      <c r="G151" s="44"/>
      <c r="H151" s="44"/>
      <c r="I151" s="44"/>
      <c r="J151" s="44"/>
      <c r="K151" s="44"/>
      <c r="L151" s="44"/>
      <c r="M151" s="44"/>
      <c r="N151" s="44"/>
      <c r="O151" s="44"/>
      <c r="P151" s="44"/>
      <c r="Q151" s="44"/>
      <c r="R151" s="44"/>
      <c r="S151" s="44"/>
      <c r="T151" s="59"/>
      <c r="U151" s="59"/>
      <c r="V151" s="59"/>
      <c r="W151" s="59"/>
      <c r="X151" s="59"/>
      <c r="Y151" s="59"/>
      <c r="Z151" s="59"/>
      <c r="AA151" s="59"/>
      <c r="AB151" s="59"/>
    </row>
    <row r="152" spans="2:28" ht="12.5" hidden="1">
      <c r="B152" s="44"/>
      <c r="C152" s="44"/>
      <c r="D152" s="44"/>
      <c r="E152" s="44"/>
      <c r="F152" s="44"/>
      <c r="G152" s="44"/>
      <c r="H152" s="44"/>
      <c r="I152" s="44"/>
      <c r="J152" s="44"/>
      <c r="K152" s="44"/>
      <c r="L152" s="44"/>
      <c r="M152" s="44"/>
      <c r="N152" s="44"/>
      <c r="O152" s="44"/>
      <c r="P152" s="44"/>
      <c r="Q152" s="44"/>
      <c r="R152" s="44"/>
      <c r="S152" s="44"/>
      <c r="T152" s="59"/>
      <c r="U152" s="59"/>
      <c r="V152" s="59"/>
      <c r="W152" s="59"/>
      <c r="X152" s="59"/>
      <c r="Y152" s="59"/>
      <c r="Z152" s="59"/>
      <c r="AA152" s="59"/>
      <c r="AB152" s="59"/>
    </row>
    <row r="153" spans="2:28" ht="12.5" hidden="1">
      <c r="B153" s="44"/>
      <c r="C153" s="44"/>
      <c r="D153" s="44"/>
      <c r="E153" s="44"/>
      <c r="F153" s="44"/>
      <c r="G153" s="44"/>
      <c r="H153" s="44"/>
      <c r="I153" s="44"/>
      <c r="J153" s="44"/>
      <c r="K153" s="44"/>
      <c r="L153" s="44"/>
      <c r="M153" s="44"/>
      <c r="N153" s="44"/>
      <c r="O153" s="44"/>
      <c r="P153" s="44"/>
      <c r="Q153" s="44"/>
      <c r="R153" s="44"/>
      <c r="S153" s="44"/>
      <c r="T153" s="59"/>
      <c r="U153" s="59"/>
      <c r="V153" s="59"/>
      <c r="W153" s="59"/>
      <c r="X153" s="59"/>
      <c r="Y153" s="59"/>
      <c r="Z153" s="59"/>
      <c r="AA153" s="59"/>
      <c r="AB153" s="59"/>
    </row>
    <row r="154" spans="2:28" ht="12.5" hidden="1">
      <c r="B154" s="44"/>
      <c r="C154" s="44"/>
      <c r="D154" s="44"/>
      <c r="E154" s="44"/>
      <c r="F154" s="44"/>
      <c r="G154" s="44"/>
      <c r="H154" s="44"/>
      <c r="I154" s="44"/>
      <c r="J154" s="44"/>
      <c r="K154" s="44"/>
      <c r="L154" s="44"/>
      <c r="M154" s="44"/>
      <c r="N154" s="44"/>
      <c r="O154" s="44"/>
      <c r="P154" s="44"/>
      <c r="Q154" s="44"/>
      <c r="R154" s="44"/>
      <c r="S154" s="44"/>
      <c r="T154" s="59"/>
      <c r="U154" s="59"/>
      <c r="V154" s="59"/>
      <c r="W154" s="59"/>
      <c r="X154" s="59"/>
      <c r="Y154" s="59"/>
      <c r="Z154" s="59"/>
      <c r="AA154" s="59"/>
      <c r="AB154" s="59"/>
    </row>
    <row r="155" spans="2:28" ht="12.5" hidden="1">
      <c r="B155" s="44"/>
      <c r="C155" s="44"/>
      <c r="D155" s="44"/>
      <c r="E155" s="44"/>
      <c r="F155" s="44"/>
      <c r="G155" s="44"/>
      <c r="H155" s="44"/>
      <c r="I155" s="44"/>
      <c r="J155" s="44"/>
      <c r="K155" s="44"/>
      <c r="L155" s="44"/>
      <c r="M155" s="44"/>
      <c r="N155" s="44"/>
      <c r="O155" s="44"/>
      <c r="P155" s="44"/>
      <c r="Q155" s="44"/>
      <c r="R155" s="44"/>
      <c r="S155" s="44"/>
      <c r="T155" s="59"/>
      <c r="U155" s="59"/>
      <c r="V155" s="59"/>
      <c r="W155" s="59"/>
      <c r="X155" s="59"/>
      <c r="Y155" s="59"/>
      <c r="Z155" s="59"/>
      <c r="AA155" s="59"/>
      <c r="AB155" s="59"/>
    </row>
    <row r="156" spans="2:28" ht="12.5" hidden="1">
      <c r="B156" s="44"/>
      <c r="C156" s="44"/>
      <c r="D156" s="44"/>
      <c r="E156" s="44"/>
      <c r="F156" s="44"/>
      <c r="G156" s="44"/>
      <c r="H156" s="44"/>
      <c r="I156" s="44"/>
      <c r="J156" s="44"/>
      <c r="K156" s="44"/>
      <c r="L156" s="44"/>
      <c r="M156" s="44"/>
      <c r="N156" s="44"/>
      <c r="O156" s="44"/>
      <c r="P156" s="44"/>
      <c r="Q156" s="44"/>
      <c r="R156" s="44"/>
      <c r="S156" s="44"/>
      <c r="T156" s="59"/>
      <c r="U156" s="59"/>
      <c r="V156" s="59"/>
      <c r="W156" s="59"/>
      <c r="X156" s="59"/>
      <c r="Y156" s="59"/>
      <c r="Z156" s="59"/>
      <c r="AA156" s="59"/>
      <c r="AB156" s="59"/>
    </row>
    <row r="157" spans="2:28" ht="12.5" hidden="1">
      <c r="B157" s="44"/>
      <c r="C157" s="44"/>
      <c r="D157" s="44"/>
      <c r="E157" s="44"/>
      <c r="F157" s="44"/>
      <c r="G157" s="44"/>
      <c r="H157" s="44"/>
      <c r="I157" s="44"/>
      <c r="J157" s="44"/>
      <c r="K157" s="44"/>
      <c r="L157" s="44"/>
      <c r="M157" s="44"/>
      <c r="N157" s="44"/>
      <c r="O157" s="44"/>
      <c r="P157" s="44"/>
      <c r="Q157" s="44"/>
      <c r="R157" s="44"/>
      <c r="S157" s="44"/>
      <c r="T157" s="59"/>
      <c r="U157" s="59"/>
      <c r="V157" s="59"/>
      <c r="W157" s="59"/>
      <c r="X157" s="59"/>
      <c r="Y157" s="59"/>
      <c r="Z157" s="59"/>
      <c r="AA157" s="59"/>
      <c r="AB157" s="59"/>
    </row>
    <row r="158" spans="2:28" ht="12.5" hidden="1">
      <c r="B158" s="44"/>
      <c r="C158" s="44"/>
      <c r="D158" s="44"/>
      <c r="E158" s="44"/>
      <c r="F158" s="44"/>
      <c r="G158" s="44"/>
      <c r="H158" s="44"/>
      <c r="I158" s="44"/>
      <c r="J158" s="44"/>
      <c r="K158" s="44"/>
      <c r="L158" s="44"/>
      <c r="M158" s="44"/>
      <c r="N158" s="44"/>
      <c r="O158" s="44"/>
      <c r="P158" s="44"/>
      <c r="Q158" s="44"/>
      <c r="R158" s="44"/>
      <c r="S158" s="44"/>
      <c r="T158" s="59"/>
      <c r="U158" s="59"/>
      <c r="V158" s="59"/>
      <c r="W158" s="59"/>
      <c r="X158" s="59"/>
      <c r="Y158" s="59"/>
      <c r="Z158" s="59"/>
      <c r="AA158" s="59"/>
      <c r="AB158" s="59"/>
    </row>
    <row r="159" spans="2:28" ht="12.5" hidden="1">
      <c r="B159" s="44"/>
      <c r="C159" s="44"/>
      <c r="D159" s="44"/>
      <c r="E159" s="44"/>
      <c r="F159" s="44"/>
      <c r="G159" s="44"/>
      <c r="H159" s="44"/>
      <c r="I159" s="44"/>
      <c r="J159" s="44"/>
      <c r="K159" s="44"/>
      <c r="L159" s="44"/>
      <c r="M159" s="44"/>
      <c r="N159" s="44"/>
      <c r="O159" s="44"/>
      <c r="P159" s="44"/>
      <c r="Q159" s="44"/>
      <c r="R159" s="44"/>
      <c r="S159" s="44"/>
      <c r="T159" s="59"/>
      <c r="U159" s="59"/>
      <c r="V159" s="59"/>
      <c r="W159" s="59"/>
      <c r="X159" s="59"/>
      <c r="Y159" s="59"/>
      <c r="Z159" s="59"/>
      <c r="AA159" s="59"/>
      <c r="AB159" s="59"/>
    </row>
    <row r="160" spans="2:28" ht="12.5" hidden="1">
      <c r="B160" s="44"/>
      <c r="C160" s="44"/>
      <c r="D160" s="44"/>
      <c r="E160" s="44"/>
      <c r="F160" s="44"/>
      <c r="G160" s="44"/>
      <c r="H160" s="44"/>
      <c r="I160" s="44"/>
      <c r="J160" s="44"/>
      <c r="K160" s="44"/>
      <c r="L160" s="44"/>
      <c r="M160" s="44"/>
      <c r="N160" s="44"/>
      <c r="O160" s="44"/>
      <c r="P160" s="44"/>
      <c r="Q160" s="44"/>
      <c r="R160" s="44"/>
      <c r="S160" s="44"/>
      <c r="T160" s="59"/>
      <c r="U160" s="59"/>
      <c r="V160" s="59"/>
      <c r="W160" s="59"/>
      <c r="X160" s="59"/>
      <c r="Y160" s="59"/>
      <c r="Z160" s="59"/>
      <c r="AA160" s="59"/>
      <c r="AB160" s="59"/>
    </row>
    <row r="161" spans="2:28" ht="12.5" hidden="1">
      <c r="B161" s="44"/>
      <c r="C161" s="44"/>
      <c r="D161" s="44"/>
      <c r="E161" s="44"/>
      <c r="F161" s="44"/>
      <c r="G161" s="44"/>
      <c r="H161" s="44"/>
      <c r="I161" s="44"/>
      <c r="J161" s="44"/>
      <c r="K161" s="44"/>
      <c r="L161" s="44"/>
      <c r="M161" s="44"/>
      <c r="N161" s="44"/>
      <c r="O161" s="44"/>
      <c r="P161" s="44"/>
      <c r="Q161" s="44"/>
      <c r="R161" s="44"/>
      <c r="S161" s="44"/>
      <c r="T161" s="59"/>
      <c r="U161" s="59"/>
      <c r="V161" s="59"/>
      <c r="W161" s="59"/>
      <c r="X161" s="59"/>
      <c r="Y161" s="59"/>
      <c r="Z161" s="59"/>
      <c r="AA161" s="59"/>
      <c r="AB161" s="59"/>
    </row>
    <row r="162" spans="2:28" ht="12.5" hidden="1">
      <c r="B162" s="44"/>
      <c r="C162" s="44"/>
      <c r="D162" s="44"/>
      <c r="E162" s="44"/>
      <c r="F162" s="44"/>
      <c r="G162" s="44"/>
      <c r="H162" s="44"/>
      <c r="I162" s="44"/>
      <c r="J162" s="44"/>
      <c r="K162" s="44"/>
      <c r="L162" s="44"/>
      <c r="M162" s="44"/>
      <c r="N162" s="44"/>
      <c r="O162" s="44"/>
      <c r="P162" s="44"/>
      <c r="Q162" s="44"/>
      <c r="R162" s="44"/>
      <c r="S162" s="44"/>
      <c r="T162" s="59"/>
      <c r="U162" s="59"/>
      <c r="V162" s="59"/>
      <c r="W162" s="59"/>
      <c r="X162" s="59"/>
      <c r="Y162" s="59"/>
      <c r="Z162" s="59"/>
      <c r="AA162" s="59"/>
      <c r="AB162" s="59"/>
    </row>
    <row r="163" spans="2:28" ht="12.5" hidden="1">
      <c r="B163" s="44"/>
      <c r="C163" s="44"/>
      <c r="D163" s="44"/>
      <c r="E163" s="44"/>
      <c r="F163" s="44"/>
      <c r="G163" s="44"/>
      <c r="H163" s="44"/>
      <c r="I163" s="44"/>
      <c r="J163" s="44"/>
      <c r="K163" s="44"/>
      <c r="L163" s="44"/>
      <c r="M163" s="44"/>
      <c r="N163" s="44"/>
      <c r="O163" s="44"/>
      <c r="P163" s="44"/>
      <c r="Q163" s="44"/>
      <c r="R163" s="44"/>
      <c r="S163" s="44"/>
      <c r="T163" s="59"/>
      <c r="U163" s="59"/>
      <c r="V163" s="59"/>
      <c r="W163" s="59"/>
      <c r="X163" s="59"/>
      <c r="Y163" s="59"/>
      <c r="Z163" s="59"/>
      <c r="AA163" s="59"/>
      <c r="AB163" s="59"/>
    </row>
    <row r="164" spans="2:28" ht="12.5" hidden="1">
      <c r="B164" s="44"/>
      <c r="C164" s="44"/>
      <c r="D164" s="44"/>
      <c r="E164" s="44"/>
      <c r="F164" s="44"/>
      <c r="G164" s="44"/>
      <c r="H164" s="44"/>
      <c r="I164" s="44"/>
      <c r="J164" s="44"/>
      <c r="K164" s="44"/>
      <c r="L164" s="44"/>
      <c r="M164" s="44"/>
      <c r="N164" s="44"/>
      <c r="O164" s="44"/>
      <c r="P164" s="44"/>
      <c r="Q164" s="44"/>
      <c r="R164" s="44"/>
      <c r="S164" s="44"/>
      <c r="T164" s="59"/>
      <c r="U164" s="59"/>
      <c r="V164" s="59"/>
      <c r="W164" s="59"/>
      <c r="X164" s="59"/>
      <c r="Y164" s="59"/>
      <c r="Z164" s="59"/>
      <c r="AA164" s="59"/>
      <c r="AB164" s="59"/>
    </row>
    <row r="165" spans="2:28" ht="12.5" hidden="1">
      <c r="B165" s="44"/>
      <c r="C165" s="44"/>
      <c r="D165" s="44"/>
      <c r="E165" s="44"/>
      <c r="F165" s="44"/>
      <c r="G165" s="44"/>
      <c r="H165" s="44"/>
      <c r="I165" s="44"/>
      <c r="J165" s="44"/>
      <c r="K165" s="44"/>
      <c r="L165" s="44"/>
      <c r="M165" s="44"/>
      <c r="N165" s="44"/>
      <c r="O165" s="44"/>
      <c r="P165" s="44"/>
      <c r="Q165" s="44"/>
      <c r="R165" s="44"/>
      <c r="S165" s="44"/>
      <c r="T165" s="59"/>
      <c r="U165" s="59"/>
      <c r="V165" s="59"/>
      <c r="W165" s="59"/>
      <c r="X165" s="59"/>
      <c r="Y165" s="59"/>
      <c r="Z165" s="59"/>
      <c r="AA165" s="59"/>
      <c r="AB165" s="59"/>
    </row>
    <row r="166" spans="2:28" ht="12.5" hidden="1">
      <c r="B166" s="44"/>
      <c r="C166" s="44"/>
      <c r="D166" s="44"/>
      <c r="E166" s="44"/>
      <c r="F166" s="44"/>
      <c r="G166" s="44"/>
      <c r="H166" s="44"/>
      <c r="I166" s="44"/>
      <c r="J166" s="44"/>
      <c r="K166" s="44"/>
      <c r="L166" s="44"/>
      <c r="M166" s="44"/>
      <c r="N166" s="44"/>
      <c r="O166" s="44"/>
      <c r="P166" s="44"/>
      <c r="Q166" s="44"/>
      <c r="R166" s="44"/>
      <c r="S166" s="44"/>
      <c r="T166" s="59"/>
      <c r="U166" s="59"/>
      <c r="V166" s="59"/>
      <c r="W166" s="59"/>
      <c r="X166" s="59"/>
      <c r="Y166" s="59"/>
      <c r="Z166" s="59"/>
      <c r="AA166" s="59"/>
      <c r="AB166" s="59"/>
    </row>
    <row r="167" spans="2:28" ht="12.5" hidden="1">
      <c r="B167" s="44"/>
      <c r="C167" s="44"/>
      <c r="D167" s="44"/>
      <c r="E167" s="44"/>
      <c r="F167" s="44"/>
      <c r="G167" s="44"/>
      <c r="H167" s="44"/>
      <c r="I167" s="44"/>
      <c r="J167" s="44"/>
      <c r="K167" s="44"/>
      <c r="L167" s="44"/>
      <c r="M167" s="44"/>
      <c r="N167" s="44"/>
      <c r="O167" s="44"/>
      <c r="P167" s="44"/>
      <c r="Q167" s="44"/>
      <c r="R167" s="44"/>
      <c r="S167" s="44"/>
      <c r="T167" s="59"/>
      <c r="U167" s="59"/>
      <c r="V167" s="59"/>
      <c r="W167" s="59"/>
      <c r="X167" s="59"/>
      <c r="Y167" s="59"/>
      <c r="Z167" s="59"/>
      <c r="AA167" s="59"/>
      <c r="AB167" s="59"/>
    </row>
    <row r="168" spans="2:28" ht="12.75" hidden="1" customHeight="1">
      <c r="B168" s="44"/>
      <c r="C168" s="44"/>
      <c r="D168" s="44"/>
      <c r="E168" s="44"/>
      <c r="F168" s="44"/>
      <c r="G168" s="44"/>
      <c r="H168" s="44"/>
      <c r="I168" s="44"/>
      <c r="J168" s="44"/>
      <c r="K168" s="44"/>
      <c r="L168" s="44"/>
      <c r="M168" s="44"/>
      <c r="N168" s="44"/>
      <c r="O168" s="44"/>
      <c r="P168" s="44"/>
      <c r="Q168" s="44"/>
      <c r="R168" s="44"/>
      <c r="S168" s="44"/>
      <c r="T168" s="59"/>
      <c r="U168" s="59"/>
      <c r="V168" s="59"/>
      <c r="W168" s="59"/>
      <c r="X168" s="59"/>
      <c r="Y168" s="59"/>
      <c r="Z168" s="59"/>
      <c r="AA168" s="59"/>
      <c r="AB168" s="59"/>
    </row>
    <row r="169" spans="2:28" ht="12.75" hidden="1" customHeight="1">
      <c r="B169" s="44"/>
      <c r="C169" s="44"/>
      <c r="D169" s="44"/>
      <c r="E169" s="44"/>
      <c r="F169" s="44"/>
      <c r="G169" s="44"/>
      <c r="H169" s="44"/>
      <c r="I169" s="44"/>
      <c r="J169" s="44"/>
      <c r="K169" s="44"/>
      <c r="L169" s="44"/>
      <c r="M169" s="44"/>
      <c r="N169" s="44"/>
      <c r="O169" s="44"/>
      <c r="P169" s="44"/>
      <c r="Q169" s="44"/>
      <c r="R169" s="44"/>
      <c r="S169" s="44"/>
      <c r="T169" s="59"/>
      <c r="U169" s="59"/>
      <c r="V169" s="59"/>
      <c r="W169" s="59"/>
      <c r="X169" s="59"/>
      <c r="Y169" s="59"/>
      <c r="Z169" s="59"/>
      <c r="AA169" s="59"/>
      <c r="AB169" s="59"/>
    </row>
    <row r="170" spans="2:28" ht="12.75" hidden="1" customHeight="1">
      <c r="B170" s="44"/>
      <c r="C170" s="44"/>
      <c r="D170" s="44"/>
      <c r="E170" s="44"/>
      <c r="F170" s="44"/>
      <c r="G170" s="44"/>
      <c r="H170" s="44"/>
      <c r="I170" s="44"/>
      <c r="J170" s="44"/>
      <c r="K170" s="44"/>
      <c r="L170" s="44"/>
      <c r="M170" s="44"/>
      <c r="N170" s="44"/>
      <c r="O170" s="44"/>
      <c r="P170" s="44"/>
      <c r="Q170" s="44"/>
      <c r="R170" s="44"/>
      <c r="S170" s="44"/>
      <c r="T170" s="59"/>
      <c r="U170" s="59"/>
      <c r="V170" s="59"/>
      <c r="W170" s="59"/>
      <c r="X170" s="59"/>
      <c r="Y170" s="59"/>
      <c r="Z170" s="59"/>
      <c r="AA170" s="59"/>
      <c r="AB170" s="59"/>
    </row>
    <row r="171" spans="2:28" ht="12.75" hidden="1" customHeight="1">
      <c r="B171" s="44"/>
      <c r="C171" s="44"/>
      <c r="D171" s="44"/>
      <c r="E171" s="44"/>
      <c r="F171" s="44"/>
      <c r="G171" s="44"/>
      <c r="H171" s="44"/>
      <c r="I171" s="44"/>
      <c r="J171" s="44"/>
      <c r="K171" s="44"/>
      <c r="L171" s="44"/>
      <c r="M171" s="44"/>
      <c r="N171" s="44"/>
      <c r="O171" s="44"/>
      <c r="P171" s="44"/>
      <c r="Q171" s="44"/>
      <c r="R171" s="44"/>
      <c r="S171" s="44"/>
      <c r="T171" s="59"/>
      <c r="U171" s="59"/>
      <c r="V171" s="59"/>
      <c r="W171" s="59"/>
      <c r="X171" s="59"/>
      <c r="Y171" s="59"/>
      <c r="Z171" s="59"/>
      <c r="AA171" s="59"/>
      <c r="AB171" s="59"/>
    </row>
    <row r="172" spans="2:28" ht="12.75" hidden="1" customHeight="1">
      <c r="B172" s="44"/>
      <c r="C172" s="44"/>
      <c r="D172" s="44"/>
      <c r="E172" s="44"/>
      <c r="F172" s="44"/>
      <c r="G172" s="44"/>
      <c r="H172" s="44"/>
      <c r="I172" s="44"/>
      <c r="J172" s="44"/>
      <c r="K172" s="44"/>
      <c r="L172" s="44"/>
      <c r="M172" s="44"/>
      <c r="N172" s="44"/>
      <c r="O172" s="44"/>
      <c r="P172" s="44"/>
      <c r="Q172" s="44"/>
      <c r="R172" s="44"/>
      <c r="S172" s="44"/>
      <c r="T172" s="59"/>
      <c r="U172" s="59"/>
      <c r="V172" s="59"/>
      <c r="W172" s="59"/>
      <c r="X172" s="59"/>
      <c r="Y172" s="59"/>
      <c r="Z172" s="59"/>
      <c r="AA172" s="59"/>
      <c r="AB172" s="59"/>
    </row>
    <row r="173" spans="2:28" ht="12.75" hidden="1" customHeight="1">
      <c r="B173" s="44"/>
      <c r="C173" s="44"/>
      <c r="D173" s="44"/>
      <c r="E173" s="44"/>
      <c r="F173" s="44"/>
      <c r="G173" s="44"/>
      <c r="H173" s="44"/>
      <c r="I173" s="44"/>
      <c r="J173" s="44"/>
      <c r="K173" s="44"/>
      <c r="L173" s="44"/>
      <c r="M173" s="44"/>
      <c r="N173" s="44"/>
      <c r="O173" s="44"/>
      <c r="P173" s="44"/>
      <c r="Q173" s="44"/>
      <c r="R173" s="44"/>
      <c r="S173" s="44"/>
      <c r="T173" s="59"/>
      <c r="U173" s="59"/>
      <c r="V173" s="59"/>
      <c r="W173" s="59"/>
      <c r="X173" s="59"/>
      <c r="Y173" s="59"/>
      <c r="Z173" s="59"/>
      <c r="AA173" s="59"/>
      <c r="AB173" s="59"/>
    </row>
    <row r="174" spans="2:28" ht="12.75" customHeight="1"/>
    <row r="175" spans="2:28" ht="12.75" customHeight="1"/>
    <row r="176" spans="2:28"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sheetData>
  <sheetProtection sheet="1" selectLockedCells="1"/>
  <mergeCells count="46">
    <mergeCell ref="K9:Q13"/>
    <mergeCell ref="K16:Q20"/>
    <mergeCell ref="B36:C36"/>
    <mergeCell ref="B37:C37"/>
    <mergeCell ref="B44:C44"/>
    <mergeCell ref="B9:C9"/>
    <mergeCell ref="E23:G23"/>
    <mergeCell ref="B16:C16"/>
    <mergeCell ref="B12:C12"/>
    <mergeCell ref="B13:C13"/>
    <mergeCell ref="B19:C19"/>
    <mergeCell ref="B21:C21"/>
    <mergeCell ref="B28:C28"/>
    <mergeCell ref="B29:C29"/>
    <mergeCell ref="B20:C20"/>
    <mergeCell ref="K21:Q21"/>
    <mergeCell ref="B45:C45"/>
    <mergeCell ref="B52:C52"/>
    <mergeCell ref="B53:C53"/>
    <mergeCell ref="B74:C74"/>
    <mergeCell ref="E74:I74"/>
    <mergeCell ref="B70:C70"/>
    <mergeCell ref="E70:I70"/>
    <mergeCell ref="B71:C71"/>
    <mergeCell ref="E71:I71"/>
    <mergeCell ref="B72:C72"/>
    <mergeCell ref="E72:I72"/>
    <mergeCell ref="B73:C73"/>
    <mergeCell ref="E73:I73"/>
    <mergeCell ref="B69:C69"/>
    <mergeCell ref="E69:I69"/>
    <mergeCell ref="B60:R60"/>
    <mergeCell ref="B61:C61"/>
    <mergeCell ref="U64:AB64"/>
    <mergeCell ref="E62:I62"/>
    <mergeCell ref="E61:I61"/>
    <mergeCell ref="E63:I63"/>
    <mergeCell ref="E64:I64"/>
    <mergeCell ref="B77:C77"/>
    <mergeCell ref="E65:I65"/>
    <mergeCell ref="E66:I66"/>
    <mergeCell ref="B62:C62"/>
    <mergeCell ref="B63:C63"/>
    <mergeCell ref="B64:C64"/>
    <mergeCell ref="B65:C65"/>
    <mergeCell ref="B66:C66"/>
  </mergeCells>
  <dataValidations disablePrompts="1" count="3">
    <dataValidation type="list" allowBlank="1" showInputMessage="1" showErrorMessage="1" sqref="B28:C28 B36:C36" xr:uid="{84CE4AA5-B3AF-4B1A-9197-E6C201AA9F82}">
      <formula1>$T$65:$T$70</formula1>
    </dataValidation>
    <dataValidation type="list" allowBlank="1" showInputMessage="1" showErrorMessage="1" sqref="B44:C44 B52:C52" xr:uid="{D9A041B8-7A87-4C20-ADCA-AB814D9EC16A}">
      <formula1>$T$71:$T$76</formula1>
    </dataValidation>
    <dataValidation type="list" allowBlank="1" showInputMessage="1" showErrorMessage="1" sqref="Q28 Q54 Q52 Q46 Q44 Q38 Q36 Q30" xr:uid="{B39DF136-60E3-433C-9EFD-C0950F7B4CB5}">
      <formula1>$U$22:$U$27</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31" id="{1E4DF02F-074B-4D00-B714-DDC4EBCDDA9A}">
            <xm:f>'0-Home'!$L$1="Currency: USD"</xm:f>
            <x14:dxf>
              <numFmt numFmtId="171" formatCode="&quot;$&quot;#,##0"/>
            </x14:dxf>
          </x14:cfRule>
          <x14:cfRule type="expression" priority="232" id="{A22BC165-EF7F-4352-B110-642D36C4777E}">
            <xm:f>'0-Home'!$L$1="Currency: EUR"</xm:f>
            <x14:dxf>
              <numFmt numFmtId="170" formatCode="#,##0\ [$€-1]"/>
            </x14:dxf>
          </x14:cfRule>
          <xm:sqref>E9</xm:sqref>
        </x14:conditionalFormatting>
        <x14:conditionalFormatting xmlns:xm="http://schemas.microsoft.com/office/excel/2006/main">
          <x14:cfRule type="expression" priority="229" id="{1014CBAA-EBBA-4D0E-99CD-D497E6F4EE01}">
            <xm:f>'0-Home'!$L$1="Currency: USD"</xm:f>
            <x14:dxf>
              <numFmt numFmtId="171" formatCode="&quot;$&quot;#,##0"/>
            </x14:dxf>
          </x14:cfRule>
          <x14:cfRule type="expression" priority="230" id="{C508746C-7368-42CD-930F-473C4BA671F3}">
            <xm:f>'0-Home'!$L$1="Currency: EUR"</xm:f>
            <x14:dxf>
              <numFmt numFmtId="170" formatCode="#,##0\ [$€-1]"/>
            </x14:dxf>
          </x14:cfRule>
          <xm:sqref>G9</xm:sqref>
        </x14:conditionalFormatting>
        <x14:conditionalFormatting xmlns:xm="http://schemas.microsoft.com/office/excel/2006/main">
          <x14:cfRule type="expression" priority="227" id="{189B2F3A-2D7B-4930-97A9-365486FC472B}">
            <xm:f>'0-Home'!$L$1="Currency: USD"</xm:f>
            <x14:dxf>
              <numFmt numFmtId="171" formatCode="&quot;$&quot;#,##0"/>
            </x14:dxf>
          </x14:cfRule>
          <x14:cfRule type="expression" priority="228" id="{0E912A83-9ED7-49E8-AB09-8486940E2A9F}">
            <xm:f>'0-Home'!$L$1="Currency: EUR"</xm:f>
            <x14:dxf>
              <numFmt numFmtId="170" formatCode="#,##0\ [$€-1]"/>
            </x14:dxf>
          </x14:cfRule>
          <xm:sqref>I9</xm:sqref>
        </x14:conditionalFormatting>
        <x14:conditionalFormatting xmlns:xm="http://schemas.microsoft.com/office/excel/2006/main">
          <x14:cfRule type="expression" priority="225" id="{C681F63D-93FB-4FAF-95FB-70EF9227422A}">
            <xm:f>'0-Home'!$L$1="Currency: USD"</xm:f>
            <x14:dxf>
              <numFmt numFmtId="171" formatCode="&quot;$&quot;#,##0"/>
            </x14:dxf>
          </x14:cfRule>
          <x14:cfRule type="expression" priority="226" id="{9C93BBBF-CB0D-425F-BE6E-B3E84104CA0B}">
            <xm:f>'0-Home'!$L$1="Currency: EUR"</xm:f>
            <x14:dxf>
              <numFmt numFmtId="170" formatCode="#,##0\ [$€-1]"/>
            </x14:dxf>
          </x14:cfRule>
          <xm:sqref>E16</xm:sqref>
        </x14:conditionalFormatting>
        <x14:conditionalFormatting xmlns:xm="http://schemas.microsoft.com/office/excel/2006/main">
          <x14:cfRule type="expression" priority="223" id="{D31DB271-39C4-4006-8D78-768107AF1D18}">
            <xm:f>'0-Home'!$L$1="Currency: USD"</xm:f>
            <x14:dxf>
              <numFmt numFmtId="171" formatCode="&quot;$&quot;#,##0"/>
            </x14:dxf>
          </x14:cfRule>
          <x14:cfRule type="expression" priority="224" id="{F620C1C8-B31C-4B47-B966-FF13A3149BF8}">
            <xm:f>'0-Home'!$L$1="Currency: EUR"</xm:f>
            <x14:dxf>
              <numFmt numFmtId="170" formatCode="#,##0\ [$€-1]"/>
            </x14:dxf>
          </x14:cfRule>
          <xm:sqref>G16</xm:sqref>
        </x14:conditionalFormatting>
        <x14:conditionalFormatting xmlns:xm="http://schemas.microsoft.com/office/excel/2006/main">
          <x14:cfRule type="expression" priority="221" id="{9CC39C99-1B73-4A58-9C63-8249792634D4}">
            <xm:f>'0-Home'!$L$1="Currency: USD"</xm:f>
            <x14:dxf>
              <numFmt numFmtId="171" formatCode="&quot;$&quot;#,##0"/>
            </x14:dxf>
          </x14:cfRule>
          <x14:cfRule type="expression" priority="222" id="{DC875CBE-8C81-450C-84F3-AB0CD3B21307}">
            <xm:f>'0-Home'!$L$1="Currency: EUR"</xm:f>
            <x14:dxf>
              <numFmt numFmtId="170" formatCode="#,##0\ [$€-1]"/>
            </x14:dxf>
          </x14:cfRule>
          <xm:sqref>I16</xm:sqref>
        </x14:conditionalFormatting>
        <x14:conditionalFormatting xmlns:xm="http://schemas.microsoft.com/office/excel/2006/main">
          <x14:cfRule type="expression" priority="219" id="{9FA7BE82-CD63-410C-BD27-53C4890B4652}">
            <xm:f>'0-Home'!$L$1="Currency: USD"</xm:f>
            <x14:dxf>
              <numFmt numFmtId="171" formatCode="&quot;$&quot;#,##0"/>
            </x14:dxf>
          </x14:cfRule>
          <x14:cfRule type="expression" priority="220" id="{981DAEBE-451E-4A66-8AE5-BDBFFA79868F}">
            <xm:f>'0-Home'!$L$1="Currency: EUR"</xm:f>
            <x14:dxf>
              <numFmt numFmtId="170" formatCode="#,##0\ [$€-1]"/>
            </x14:dxf>
          </x14:cfRule>
          <xm:sqref>M28</xm:sqref>
        </x14:conditionalFormatting>
        <x14:conditionalFormatting xmlns:xm="http://schemas.microsoft.com/office/excel/2006/main">
          <x14:cfRule type="expression" priority="217" id="{BFA812FE-940D-4C3E-B010-BF57A1381BD7}">
            <xm:f>'0-Home'!$L$1="Currency: USD"</xm:f>
            <x14:dxf>
              <numFmt numFmtId="171" formatCode="&quot;$&quot;#,##0"/>
            </x14:dxf>
          </x14:cfRule>
          <x14:cfRule type="expression" priority="218" id="{E213BB84-2209-482C-AAE3-91DE38752BAF}">
            <xm:f>'0-Home'!$L$1="Currency: EUR"</xm:f>
            <x14:dxf>
              <numFmt numFmtId="170" formatCode="#,##0\ [$€-1]"/>
            </x14:dxf>
          </x14:cfRule>
          <xm:sqref>M30</xm:sqref>
        </x14:conditionalFormatting>
        <x14:conditionalFormatting xmlns:xm="http://schemas.microsoft.com/office/excel/2006/main">
          <x14:cfRule type="expression" priority="213" id="{E51DA16C-851D-4948-90E0-B545227E0721}">
            <xm:f>'0-Home'!$L$1="Currency: EUR"</xm:f>
            <x14:dxf>
              <numFmt numFmtId="170" formatCode="#,##0\ [$€-1]"/>
            </x14:dxf>
          </x14:cfRule>
          <x14:cfRule type="expression" priority="214" id="{716B1748-E578-44E8-829C-B1A8FD044E54}">
            <xm:f>'0-Home'!$L$1="Currency: USD"</xm:f>
            <x14:dxf>
              <numFmt numFmtId="171" formatCode="&quot;$&quot;#,##0"/>
            </x14:dxf>
          </x14:cfRule>
          <xm:sqref>O28</xm:sqref>
        </x14:conditionalFormatting>
        <x14:conditionalFormatting xmlns:xm="http://schemas.microsoft.com/office/excel/2006/main">
          <x14:cfRule type="expression" priority="211" id="{24A7B9AD-9601-4B60-98B5-867ED50ADA02}">
            <xm:f>'0-Home'!$L$1="Currency: EUR"</xm:f>
            <x14:dxf>
              <numFmt numFmtId="170" formatCode="#,##0\ [$€-1]"/>
            </x14:dxf>
          </x14:cfRule>
          <x14:cfRule type="expression" priority="212" id="{C3C4CF97-B703-4D83-A81D-B890C69650B6}">
            <xm:f>'0-Home'!$L$1="Currency: USD"</xm:f>
            <x14:dxf>
              <numFmt numFmtId="171" formatCode="&quot;$&quot;#,##0"/>
            </x14:dxf>
          </x14:cfRule>
          <xm:sqref>O30</xm:sqref>
        </x14:conditionalFormatting>
        <x14:conditionalFormatting xmlns:xm="http://schemas.microsoft.com/office/excel/2006/main">
          <x14:cfRule type="expression" priority="171" id="{4F558AF5-E5E2-492A-91EE-47EF639A007D}">
            <xm:f>'0-Home'!$L$1="Currency: USD"</xm:f>
            <x14:dxf>
              <numFmt numFmtId="171" formatCode="&quot;$&quot;#,##0"/>
            </x14:dxf>
          </x14:cfRule>
          <x14:cfRule type="expression" priority="172" id="{D7D02979-8EBC-4BA2-9AC2-FBF20589ED94}">
            <xm:f>'0-Home'!$L$1="Currency: EUR"</xm:f>
            <x14:dxf>
              <numFmt numFmtId="170" formatCode="#,##0\ [$€-1]"/>
            </x14:dxf>
          </x14:cfRule>
          <xm:sqref>E32</xm:sqref>
        </x14:conditionalFormatting>
        <x14:conditionalFormatting xmlns:xm="http://schemas.microsoft.com/office/excel/2006/main">
          <x14:cfRule type="expression" priority="169" id="{3D439F83-F642-47B9-9625-87747B097716}">
            <xm:f>'0-Home'!$L$1="Currency: USD"</xm:f>
            <x14:dxf>
              <numFmt numFmtId="171" formatCode="&quot;$&quot;#,##0"/>
            </x14:dxf>
          </x14:cfRule>
          <x14:cfRule type="expression" priority="170" id="{B7BBF1F2-BC0F-4720-AE9A-B37BEB0C73DD}">
            <xm:f>'0-Home'!$L$1="Currency: EUR"</xm:f>
            <x14:dxf>
              <numFmt numFmtId="170" formatCode="#,##0\ [$€-1]"/>
            </x14:dxf>
          </x14:cfRule>
          <xm:sqref>G32</xm:sqref>
        </x14:conditionalFormatting>
        <x14:conditionalFormatting xmlns:xm="http://schemas.microsoft.com/office/excel/2006/main">
          <x14:cfRule type="expression" priority="167" id="{D128F68C-88DA-43DF-8E86-1566B14ECBE4}">
            <xm:f>'0-Home'!$L$1="Currency: USD"</xm:f>
            <x14:dxf>
              <numFmt numFmtId="171" formatCode="&quot;$&quot;#,##0"/>
            </x14:dxf>
          </x14:cfRule>
          <x14:cfRule type="expression" priority="168" id="{15FFEEF8-B71F-4B0A-A1C4-36FD32074B61}">
            <xm:f>'0-Home'!$L$1="Currency: EUR"</xm:f>
            <x14:dxf>
              <numFmt numFmtId="170" formatCode="#,##0\ [$€-1]"/>
            </x14:dxf>
          </x14:cfRule>
          <xm:sqref>I32</xm:sqref>
        </x14:conditionalFormatting>
        <x14:conditionalFormatting xmlns:xm="http://schemas.microsoft.com/office/excel/2006/main">
          <x14:cfRule type="expression" priority="165" id="{0FF96F3C-2430-4F5B-A6D1-9F7B16BD6BD7}">
            <xm:f>'0-Home'!$L$1="Currency: USD"</xm:f>
            <x14:dxf>
              <numFmt numFmtId="171" formatCode="&quot;$&quot;#,##0"/>
            </x14:dxf>
          </x14:cfRule>
          <x14:cfRule type="expression" priority="166" id="{5E8B1C0B-4B1F-4D13-ACA2-5E7EAE935153}">
            <xm:f>'0-Home'!$L$1="Currency: EUR"</xm:f>
            <x14:dxf>
              <numFmt numFmtId="170" formatCode="#,##0\ [$€-1]"/>
            </x14:dxf>
          </x14:cfRule>
          <xm:sqref>K32</xm:sqref>
        </x14:conditionalFormatting>
        <x14:conditionalFormatting xmlns:xm="http://schemas.microsoft.com/office/excel/2006/main">
          <x14:cfRule type="expression" priority="163" id="{C9E44EA0-C834-418F-843F-065804997762}">
            <xm:f>'0-Home'!$L$1="Currency: USD"</xm:f>
            <x14:dxf>
              <numFmt numFmtId="171" formatCode="&quot;$&quot;#,##0"/>
            </x14:dxf>
          </x14:cfRule>
          <x14:cfRule type="expression" priority="164" id="{E0D5BE4C-3794-4B76-B411-A75E4C5FD9DA}">
            <xm:f>'0-Home'!$L$1="Currency: EUR"</xm:f>
            <x14:dxf>
              <numFmt numFmtId="170" formatCode="#,##0\ [$€-1]"/>
            </x14:dxf>
          </x14:cfRule>
          <xm:sqref>M32</xm:sqref>
        </x14:conditionalFormatting>
        <x14:conditionalFormatting xmlns:xm="http://schemas.microsoft.com/office/excel/2006/main">
          <x14:cfRule type="expression" priority="161" id="{E9976976-B041-43A2-BFE6-BA0C475ADDBE}">
            <xm:f>'0-Home'!$L$1="Currency: USD"</xm:f>
            <x14:dxf>
              <numFmt numFmtId="171" formatCode="&quot;$&quot;#,##0"/>
            </x14:dxf>
          </x14:cfRule>
          <x14:cfRule type="expression" priority="162" id="{15DAD341-BCBD-49BD-AD93-C682EF09007F}">
            <xm:f>'0-Home'!$L$1="Currency: EUR"</xm:f>
            <x14:dxf>
              <numFmt numFmtId="170" formatCode="#,##0\ [$€-1]"/>
            </x14:dxf>
          </x14:cfRule>
          <xm:sqref>O32</xm:sqref>
        </x14:conditionalFormatting>
        <x14:conditionalFormatting xmlns:xm="http://schemas.microsoft.com/office/excel/2006/main">
          <x14:cfRule type="expression" priority="159" id="{A9D69239-BCBE-4381-9BB3-808508CB1B16}">
            <xm:f>'0-Home'!$L$1="Currency: EUR"</xm:f>
            <x14:dxf>
              <numFmt numFmtId="170" formatCode="#,##0\ [$€-1]"/>
            </x14:dxf>
          </x14:cfRule>
          <x14:cfRule type="expression" priority="160" id="{029E2206-63F0-4D20-B8E4-4EF59478EECE}">
            <xm:f>'0-Home'!$L$1="Currency: USD"</xm:f>
            <x14:dxf>
              <numFmt numFmtId="171" formatCode="&quot;$&quot;#,##0"/>
            </x14:dxf>
          </x14:cfRule>
          <xm:sqref>K28</xm:sqref>
        </x14:conditionalFormatting>
        <x14:conditionalFormatting xmlns:xm="http://schemas.microsoft.com/office/excel/2006/main">
          <x14:cfRule type="expression" priority="157" id="{D1879351-E246-4BD2-A3FF-FFF2D88C6ECF}">
            <xm:f>'0-Home'!$L$1="Currency: EUR"</xm:f>
            <x14:dxf>
              <numFmt numFmtId="170" formatCode="#,##0\ [$€-1]"/>
            </x14:dxf>
          </x14:cfRule>
          <x14:cfRule type="expression" priority="158" id="{52277E2D-F203-463C-B56C-E23CD62D4B3F}">
            <xm:f>'0-Home'!$L$1="Currency: USD"</xm:f>
            <x14:dxf>
              <numFmt numFmtId="171" formatCode="&quot;$&quot;#,##0"/>
            </x14:dxf>
          </x14:cfRule>
          <xm:sqref>I28</xm:sqref>
        </x14:conditionalFormatting>
        <x14:conditionalFormatting xmlns:xm="http://schemas.microsoft.com/office/excel/2006/main">
          <x14:cfRule type="expression" priority="155" id="{E3FE93A5-3558-4C97-914D-B75CEB9922D0}">
            <xm:f>'0-Home'!$L$1="Currency: EUR"</xm:f>
            <x14:dxf>
              <numFmt numFmtId="170" formatCode="#,##0\ [$€-1]"/>
            </x14:dxf>
          </x14:cfRule>
          <x14:cfRule type="expression" priority="156" id="{1B53A3AE-362D-43F1-966A-7FAE89BB4EC6}">
            <xm:f>'0-Home'!$L$1="Currency: USD"</xm:f>
            <x14:dxf>
              <numFmt numFmtId="171" formatCode="&quot;$&quot;#,##0"/>
            </x14:dxf>
          </x14:cfRule>
          <xm:sqref>G28</xm:sqref>
        </x14:conditionalFormatting>
        <x14:conditionalFormatting xmlns:xm="http://schemas.microsoft.com/office/excel/2006/main">
          <x14:cfRule type="expression" priority="153" id="{3736555E-B70F-4437-B4CE-4CBBE30C48D0}">
            <xm:f>'0-Home'!$L$1="Currency: EUR"</xm:f>
            <x14:dxf>
              <numFmt numFmtId="170" formatCode="#,##0\ [$€-1]"/>
            </x14:dxf>
          </x14:cfRule>
          <x14:cfRule type="expression" priority="154" id="{D2F7E724-A31C-4960-8E62-510B29A3D61D}">
            <xm:f>'0-Home'!$L$1="Currency: USD"</xm:f>
            <x14:dxf>
              <numFmt numFmtId="171" formatCode="&quot;$&quot;#,##0"/>
            </x14:dxf>
          </x14:cfRule>
          <xm:sqref>E28</xm:sqref>
        </x14:conditionalFormatting>
        <x14:conditionalFormatting xmlns:xm="http://schemas.microsoft.com/office/excel/2006/main">
          <x14:cfRule type="expression" priority="151" id="{DEC5FC7E-94E1-4446-A7C1-2E9E2D0CD742}">
            <xm:f>'0-Home'!$L$1="Currency: EUR"</xm:f>
            <x14:dxf>
              <numFmt numFmtId="170" formatCode="#,##0\ [$€-1]"/>
            </x14:dxf>
          </x14:cfRule>
          <x14:cfRule type="expression" priority="152" id="{2EB362BE-A29A-4DC4-B461-AF69F0039CB6}">
            <xm:f>'0-Home'!$L$1="Currency: USD"</xm:f>
            <x14:dxf>
              <numFmt numFmtId="171" formatCode="&quot;$&quot;#,##0"/>
            </x14:dxf>
          </x14:cfRule>
          <xm:sqref>E30</xm:sqref>
        </x14:conditionalFormatting>
        <x14:conditionalFormatting xmlns:xm="http://schemas.microsoft.com/office/excel/2006/main">
          <x14:cfRule type="expression" priority="149" id="{EFE9D117-B7C5-406B-ADFA-03021F2191C0}">
            <xm:f>'0-Home'!$L$1="Currency: EUR"</xm:f>
            <x14:dxf>
              <numFmt numFmtId="170" formatCode="#,##0\ [$€-1]"/>
            </x14:dxf>
          </x14:cfRule>
          <x14:cfRule type="expression" priority="150" id="{8CA1BEE4-CA7F-4CB1-8A59-BE249BFCC57D}">
            <xm:f>'0-Home'!$L$1="Currency: USD"</xm:f>
            <x14:dxf>
              <numFmt numFmtId="171" formatCode="&quot;$&quot;#,##0"/>
            </x14:dxf>
          </x14:cfRule>
          <xm:sqref>G30</xm:sqref>
        </x14:conditionalFormatting>
        <x14:conditionalFormatting xmlns:xm="http://schemas.microsoft.com/office/excel/2006/main">
          <x14:cfRule type="expression" priority="147" id="{71F31335-84AB-4060-8A57-6C70A7310C82}">
            <xm:f>'0-Home'!$L$1="Currency: EUR"</xm:f>
            <x14:dxf>
              <numFmt numFmtId="170" formatCode="#,##0\ [$€-1]"/>
            </x14:dxf>
          </x14:cfRule>
          <x14:cfRule type="expression" priority="148" id="{90952E2B-B2E4-4F47-B68C-3CC85D965FF3}">
            <xm:f>'0-Home'!$L$1="Currency: USD"</xm:f>
            <x14:dxf>
              <numFmt numFmtId="171" formatCode="&quot;$&quot;#,##0"/>
            </x14:dxf>
          </x14:cfRule>
          <xm:sqref>I30</xm:sqref>
        </x14:conditionalFormatting>
        <x14:conditionalFormatting xmlns:xm="http://schemas.microsoft.com/office/excel/2006/main">
          <x14:cfRule type="expression" priority="145" id="{FF651970-7424-4213-8E34-1D76BFC0C083}">
            <xm:f>'0-Home'!$L$1="Currency: EUR"</xm:f>
            <x14:dxf>
              <numFmt numFmtId="170" formatCode="#,##0\ [$€-1]"/>
            </x14:dxf>
          </x14:cfRule>
          <x14:cfRule type="expression" priority="146" id="{53214C56-B3A0-4C0D-85D7-605B244DD7A6}">
            <xm:f>'0-Home'!$L$1="Currency: USD"</xm:f>
            <x14:dxf>
              <numFmt numFmtId="171" formatCode="&quot;$&quot;#,##0"/>
            </x14:dxf>
          </x14:cfRule>
          <xm:sqref>K30</xm:sqref>
        </x14:conditionalFormatting>
        <x14:conditionalFormatting xmlns:xm="http://schemas.microsoft.com/office/excel/2006/main">
          <x14:cfRule type="expression" priority="143" id="{86A0768E-39E4-4B90-85EF-0600463E8474}">
            <xm:f>'0-Home'!$L$1="Currency: USD"</xm:f>
            <x14:dxf>
              <numFmt numFmtId="171" formatCode="&quot;$&quot;#,##0"/>
            </x14:dxf>
          </x14:cfRule>
          <x14:cfRule type="expression" priority="144" id="{6E08A9D6-3530-468A-9C0B-C4D3BA81144C}">
            <xm:f>'0-Home'!$L$1="Currency: EUR"</xm:f>
            <x14:dxf>
              <numFmt numFmtId="170" formatCode="#,##0\ [$€-1]"/>
            </x14:dxf>
          </x14:cfRule>
          <xm:sqref>M36</xm:sqref>
        </x14:conditionalFormatting>
        <x14:conditionalFormatting xmlns:xm="http://schemas.microsoft.com/office/excel/2006/main">
          <x14:cfRule type="expression" priority="141" id="{F2C038A2-20D0-4FB7-A03D-09A2A44E5CD7}">
            <xm:f>'0-Home'!$L$1="Currency: USD"</xm:f>
            <x14:dxf>
              <numFmt numFmtId="171" formatCode="&quot;$&quot;#,##0"/>
            </x14:dxf>
          </x14:cfRule>
          <x14:cfRule type="expression" priority="142" id="{AFDCC896-0858-41C6-8BB0-795114B0BFA3}">
            <xm:f>'0-Home'!$L$1="Currency: EUR"</xm:f>
            <x14:dxf>
              <numFmt numFmtId="170" formatCode="#,##0\ [$€-1]"/>
            </x14:dxf>
          </x14:cfRule>
          <xm:sqref>M38</xm:sqref>
        </x14:conditionalFormatting>
        <x14:conditionalFormatting xmlns:xm="http://schemas.microsoft.com/office/excel/2006/main">
          <x14:cfRule type="expression" priority="139" id="{C7AF414B-684B-42F9-A37E-F29D25AEA50D}">
            <xm:f>'0-Home'!$L$1="Currency: EUR"</xm:f>
            <x14:dxf>
              <numFmt numFmtId="170" formatCode="#,##0\ [$€-1]"/>
            </x14:dxf>
          </x14:cfRule>
          <x14:cfRule type="expression" priority="140" id="{45B34FB7-61B3-4B7F-85CB-04C27DFCCF14}">
            <xm:f>'0-Home'!$L$1="Currency: USD"</xm:f>
            <x14:dxf>
              <numFmt numFmtId="171" formatCode="&quot;$&quot;#,##0"/>
            </x14:dxf>
          </x14:cfRule>
          <xm:sqref>O36</xm:sqref>
        </x14:conditionalFormatting>
        <x14:conditionalFormatting xmlns:xm="http://schemas.microsoft.com/office/excel/2006/main">
          <x14:cfRule type="expression" priority="137" id="{94F8AF1C-D05D-434F-856F-8AAC0A6D234D}">
            <xm:f>'0-Home'!$L$1="Currency: EUR"</xm:f>
            <x14:dxf>
              <numFmt numFmtId="170" formatCode="#,##0\ [$€-1]"/>
            </x14:dxf>
          </x14:cfRule>
          <x14:cfRule type="expression" priority="138" id="{4F55614B-7F5D-459D-8C57-162B45B438D0}">
            <xm:f>'0-Home'!$L$1="Currency: USD"</xm:f>
            <x14:dxf>
              <numFmt numFmtId="171" formatCode="&quot;$&quot;#,##0"/>
            </x14:dxf>
          </x14:cfRule>
          <xm:sqref>O38</xm:sqref>
        </x14:conditionalFormatting>
        <x14:conditionalFormatting xmlns:xm="http://schemas.microsoft.com/office/excel/2006/main">
          <x14:cfRule type="expression" priority="123" id="{593E6A3D-66B6-4E3C-A3F7-8495E4CF70A7}">
            <xm:f>'0-Home'!$L$1="Currency: EUR"</xm:f>
            <x14:dxf>
              <numFmt numFmtId="170" formatCode="#,##0\ [$€-1]"/>
            </x14:dxf>
          </x14:cfRule>
          <x14:cfRule type="expression" priority="124" id="{41A57D6D-EF57-45EB-86E6-EFFA5FDA4172}">
            <xm:f>'0-Home'!$L$1="Currency: USD"</xm:f>
            <x14:dxf>
              <numFmt numFmtId="171" formatCode="&quot;$&quot;#,##0"/>
            </x14:dxf>
          </x14:cfRule>
          <xm:sqref>K36</xm:sqref>
        </x14:conditionalFormatting>
        <x14:conditionalFormatting xmlns:xm="http://schemas.microsoft.com/office/excel/2006/main">
          <x14:cfRule type="expression" priority="121" id="{FCEB33A4-1F79-4E77-A423-79495BF8CF4D}">
            <xm:f>'0-Home'!$L$1="Currency: EUR"</xm:f>
            <x14:dxf>
              <numFmt numFmtId="170" formatCode="#,##0\ [$€-1]"/>
            </x14:dxf>
          </x14:cfRule>
          <x14:cfRule type="expression" priority="122" id="{3CF446FD-AF74-4C40-8CD2-27204EB6F95C}">
            <xm:f>'0-Home'!$L$1="Currency: USD"</xm:f>
            <x14:dxf>
              <numFmt numFmtId="171" formatCode="&quot;$&quot;#,##0"/>
            </x14:dxf>
          </x14:cfRule>
          <xm:sqref>I36</xm:sqref>
        </x14:conditionalFormatting>
        <x14:conditionalFormatting xmlns:xm="http://schemas.microsoft.com/office/excel/2006/main">
          <x14:cfRule type="expression" priority="119" id="{4C36203B-3D4A-4994-904C-BFAF7B516FB5}">
            <xm:f>'0-Home'!$L$1="Currency: EUR"</xm:f>
            <x14:dxf>
              <numFmt numFmtId="170" formatCode="#,##0\ [$€-1]"/>
            </x14:dxf>
          </x14:cfRule>
          <x14:cfRule type="expression" priority="120" id="{4FB02EE7-17F6-403E-B614-7067EDC5D5E3}">
            <xm:f>'0-Home'!$L$1="Currency: USD"</xm:f>
            <x14:dxf>
              <numFmt numFmtId="171" formatCode="&quot;$&quot;#,##0"/>
            </x14:dxf>
          </x14:cfRule>
          <xm:sqref>G36</xm:sqref>
        </x14:conditionalFormatting>
        <x14:conditionalFormatting xmlns:xm="http://schemas.microsoft.com/office/excel/2006/main">
          <x14:cfRule type="expression" priority="117" id="{6932C3FE-8C70-4BCE-825E-A68A03037EB2}">
            <xm:f>'0-Home'!$L$1="Currency: EUR"</xm:f>
            <x14:dxf>
              <numFmt numFmtId="170" formatCode="#,##0\ [$€-1]"/>
            </x14:dxf>
          </x14:cfRule>
          <x14:cfRule type="expression" priority="118" id="{87E21D77-E42B-4FF2-A4B7-898B3A405FA3}">
            <xm:f>'0-Home'!$L$1="Currency: USD"</xm:f>
            <x14:dxf>
              <numFmt numFmtId="171" formatCode="&quot;$&quot;#,##0"/>
            </x14:dxf>
          </x14:cfRule>
          <xm:sqref>E36</xm:sqref>
        </x14:conditionalFormatting>
        <x14:conditionalFormatting xmlns:xm="http://schemas.microsoft.com/office/excel/2006/main">
          <x14:cfRule type="expression" priority="115" id="{D3F6004D-9417-432C-A5CC-D57A78E7A740}">
            <xm:f>'0-Home'!$L$1="Currency: EUR"</xm:f>
            <x14:dxf>
              <numFmt numFmtId="170" formatCode="#,##0\ [$€-1]"/>
            </x14:dxf>
          </x14:cfRule>
          <x14:cfRule type="expression" priority="116" id="{DDE0A5E4-92F5-4330-AECF-A3DD0E1BAD41}">
            <xm:f>'0-Home'!$L$1="Currency: USD"</xm:f>
            <x14:dxf>
              <numFmt numFmtId="171" formatCode="&quot;$&quot;#,##0"/>
            </x14:dxf>
          </x14:cfRule>
          <xm:sqref>E38</xm:sqref>
        </x14:conditionalFormatting>
        <x14:conditionalFormatting xmlns:xm="http://schemas.microsoft.com/office/excel/2006/main">
          <x14:cfRule type="expression" priority="113" id="{D68E103D-0141-4661-BCA9-1AF89109E18C}">
            <xm:f>'0-Home'!$L$1="Currency: EUR"</xm:f>
            <x14:dxf>
              <numFmt numFmtId="170" formatCode="#,##0\ [$€-1]"/>
            </x14:dxf>
          </x14:cfRule>
          <x14:cfRule type="expression" priority="114" id="{82CCEDC2-6FF9-420D-A988-1A06DB7583BE}">
            <xm:f>'0-Home'!$L$1="Currency: USD"</xm:f>
            <x14:dxf>
              <numFmt numFmtId="171" formatCode="&quot;$&quot;#,##0"/>
            </x14:dxf>
          </x14:cfRule>
          <xm:sqref>G38</xm:sqref>
        </x14:conditionalFormatting>
        <x14:conditionalFormatting xmlns:xm="http://schemas.microsoft.com/office/excel/2006/main">
          <x14:cfRule type="expression" priority="111" id="{D1BEB5BB-DBB6-422E-B3DC-9CF6AD9A61E3}">
            <xm:f>'0-Home'!$L$1="Currency: EUR"</xm:f>
            <x14:dxf>
              <numFmt numFmtId="170" formatCode="#,##0\ [$€-1]"/>
            </x14:dxf>
          </x14:cfRule>
          <x14:cfRule type="expression" priority="112" id="{5E69BFAE-4A77-4C82-98F7-6D7DA7BBA603}">
            <xm:f>'0-Home'!$L$1="Currency: USD"</xm:f>
            <x14:dxf>
              <numFmt numFmtId="171" formatCode="&quot;$&quot;#,##0"/>
            </x14:dxf>
          </x14:cfRule>
          <xm:sqref>I38</xm:sqref>
        </x14:conditionalFormatting>
        <x14:conditionalFormatting xmlns:xm="http://schemas.microsoft.com/office/excel/2006/main">
          <x14:cfRule type="expression" priority="109" id="{AB83D8DE-9050-4746-B3AE-248C38D85B03}">
            <xm:f>'0-Home'!$L$1="Currency: EUR"</xm:f>
            <x14:dxf>
              <numFmt numFmtId="170" formatCode="#,##0\ [$€-1]"/>
            </x14:dxf>
          </x14:cfRule>
          <x14:cfRule type="expression" priority="110" id="{5D6C2E71-7B42-4B37-BEBC-D7521C19A9F2}">
            <xm:f>'0-Home'!$L$1="Currency: USD"</xm:f>
            <x14:dxf>
              <numFmt numFmtId="171" formatCode="&quot;$&quot;#,##0"/>
            </x14:dxf>
          </x14:cfRule>
          <xm:sqref>K38</xm:sqref>
        </x14:conditionalFormatting>
        <x14:conditionalFormatting xmlns:xm="http://schemas.microsoft.com/office/excel/2006/main">
          <x14:cfRule type="expression" priority="107" id="{538A8E54-F561-4E2B-893C-A72FE9306C08}">
            <xm:f>'0-Home'!$L$1="Currency: USD"</xm:f>
            <x14:dxf>
              <numFmt numFmtId="171" formatCode="&quot;$&quot;#,##0"/>
            </x14:dxf>
          </x14:cfRule>
          <x14:cfRule type="expression" priority="108" id="{C378B12E-8928-4B22-A79D-A601AD218899}">
            <xm:f>'0-Home'!$L$1="Currency: EUR"</xm:f>
            <x14:dxf>
              <numFmt numFmtId="170" formatCode="#,##0\ [$€-1]"/>
            </x14:dxf>
          </x14:cfRule>
          <xm:sqref>M44</xm:sqref>
        </x14:conditionalFormatting>
        <x14:conditionalFormatting xmlns:xm="http://schemas.microsoft.com/office/excel/2006/main">
          <x14:cfRule type="expression" priority="105" id="{4A8F8A29-0FF9-4A6F-96B3-64D559211CC4}">
            <xm:f>'0-Home'!$L$1="Currency: USD"</xm:f>
            <x14:dxf>
              <numFmt numFmtId="171" formatCode="&quot;$&quot;#,##0"/>
            </x14:dxf>
          </x14:cfRule>
          <x14:cfRule type="expression" priority="106" id="{24178ACA-35B5-4C33-B1E9-6603D4DF7500}">
            <xm:f>'0-Home'!$L$1="Currency: EUR"</xm:f>
            <x14:dxf>
              <numFmt numFmtId="170" formatCode="#,##0\ [$€-1]"/>
            </x14:dxf>
          </x14:cfRule>
          <xm:sqref>M46</xm:sqref>
        </x14:conditionalFormatting>
        <x14:conditionalFormatting xmlns:xm="http://schemas.microsoft.com/office/excel/2006/main">
          <x14:cfRule type="expression" priority="103" id="{168CB648-F371-40E8-98A6-AE21C80696E6}">
            <xm:f>'0-Home'!$L$1="Currency: EUR"</xm:f>
            <x14:dxf>
              <numFmt numFmtId="170" formatCode="#,##0\ [$€-1]"/>
            </x14:dxf>
          </x14:cfRule>
          <x14:cfRule type="expression" priority="104" id="{29ECDC53-633D-4C47-9BC3-26BB51AB9F25}">
            <xm:f>'0-Home'!$L$1="Currency: USD"</xm:f>
            <x14:dxf>
              <numFmt numFmtId="171" formatCode="&quot;$&quot;#,##0"/>
            </x14:dxf>
          </x14:cfRule>
          <xm:sqref>O44</xm:sqref>
        </x14:conditionalFormatting>
        <x14:conditionalFormatting xmlns:xm="http://schemas.microsoft.com/office/excel/2006/main">
          <x14:cfRule type="expression" priority="101" id="{082CAE4E-0356-4461-8F11-9C7FFEBC140B}">
            <xm:f>'0-Home'!$L$1="Currency: EUR"</xm:f>
            <x14:dxf>
              <numFmt numFmtId="170" formatCode="#,##0\ [$€-1]"/>
            </x14:dxf>
          </x14:cfRule>
          <x14:cfRule type="expression" priority="102" id="{88F1678D-E8DE-4FDB-9AE9-582C4006E37D}">
            <xm:f>'0-Home'!$L$1="Currency: USD"</xm:f>
            <x14:dxf>
              <numFmt numFmtId="171" formatCode="&quot;$&quot;#,##0"/>
            </x14:dxf>
          </x14:cfRule>
          <xm:sqref>O46</xm:sqref>
        </x14:conditionalFormatting>
        <x14:conditionalFormatting xmlns:xm="http://schemas.microsoft.com/office/excel/2006/main">
          <x14:cfRule type="expression" priority="87" id="{F8E4FD13-EC6F-400F-8C1E-C6687167A188}">
            <xm:f>'0-Home'!$L$1="Currency: EUR"</xm:f>
            <x14:dxf>
              <numFmt numFmtId="170" formatCode="#,##0\ [$€-1]"/>
            </x14:dxf>
          </x14:cfRule>
          <x14:cfRule type="expression" priority="88" id="{82317806-659C-4980-A1AF-2375BAF9651B}">
            <xm:f>'0-Home'!$L$1="Currency: USD"</xm:f>
            <x14:dxf>
              <numFmt numFmtId="171" formatCode="&quot;$&quot;#,##0"/>
            </x14:dxf>
          </x14:cfRule>
          <xm:sqref>K44</xm:sqref>
        </x14:conditionalFormatting>
        <x14:conditionalFormatting xmlns:xm="http://schemas.microsoft.com/office/excel/2006/main">
          <x14:cfRule type="expression" priority="85" id="{EEC92686-F90A-4A51-BFE8-FE1E8B675D11}">
            <xm:f>'0-Home'!$L$1="Currency: EUR"</xm:f>
            <x14:dxf>
              <numFmt numFmtId="170" formatCode="#,##0\ [$€-1]"/>
            </x14:dxf>
          </x14:cfRule>
          <x14:cfRule type="expression" priority="86" id="{BE1EFCBE-4E5A-4BB2-82EA-C2ED07D08652}">
            <xm:f>'0-Home'!$L$1="Currency: USD"</xm:f>
            <x14:dxf>
              <numFmt numFmtId="171" formatCode="&quot;$&quot;#,##0"/>
            </x14:dxf>
          </x14:cfRule>
          <xm:sqref>I44</xm:sqref>
        </x14:conditionalFormatting>
        <x14:conditionalFormatting xmlns:xm="http://schemas.microsoft.com/office/excel/2006/main">
          <x14:cfRule type="expression" priority="83" id="{D66C6094-D11D-49DE-8B20-98FFFFEE7EDF}">
            <xm:f>'0-Home'!$L$1="Currency: EUR"</xm:f>
            <x14:dxf>
              <numFmt numFmtId="170" formatCode="#,##0\ [$€-1]"/>
            </x14:dxf>
          </x14:cfRule>
          <x14:cfRule type="expression" priority="84" id="{8B064F61-AB96-45BC-9E4A-FABFD0F9A807}">
            <xm:f>'0-Home'!$L$1="Currency: USD"</xm:f>
            <x14:dxf>
              <numFmt numFmtId="171" formatCode="&quot;$&quot;#,##0"/>
            </x14:dxf>
          </x14:cfRule>
          <xm:sqref>G44</xm:sqref>
        </x14:conditionalFormatting>
        <x14:conditionalFormatting xmlns:xm="http://schemas.microsoft.com/office/excel/2006/main">
          <x14:cfRule type="expression" priority="81" id="{5F064972-07F8-4587-90F6-10BB455E13E7}">
            <xm:f>'0-Home'!$L$1="Currency: EUR"</xm:f>
            <x14:dxf>
              <numFmt numFmtId="170" formatCode="#,##0\ [$€-1]"/>
            </x14:dxf>
          </x14:cfRule>
          <x14:cfRule type="expression" priority="82" id="{119EBDA9-D43E-4F69-BFFB-4EA69E100A7D}">
            <xm:f>'0-Home'!$L$1="Currency: USD"</xm:f>
            <x14:dxf>
              <numFmt numFmtId="171" formatCode="&quot;$&quot;#,##0"/>
            </x14:dxf>
          </x14:cfRule>
          <xm:sqref>E44</xm:sqref>
        </x14:conditionalFormatting>
        <x14:conditionalFormatting xmlns:xm="http://schemas.microsoft.com/office/excel/2006/main">
          <x14:cfRule type="expression" priority="79" id="{B0C92124-E392-4ECB-87F5-F075D3CF47E5}">
            <xm:f>'0-Home'!$L$1="Currency: EUR"</xm:f>
            <x14:dxf>
              <numFmt numFmtId="170" formatCode="#,##0\ [$€-1]"/>
            </x14:dxf>
          </x14:cfRule>
          <x14:cfRule type="expression" priority="80" id="{47865EEE-DF6D-4E13-8FAC-00B0DEBF030D}">
            <xm:f>'0-Home'!$L$1="Currency: USD"</xm:f>
            <x14:dxf>
              <numFmt numFmtId="171" formatCode="&quot;$&quot;#,##0"/>
            </x14:dxf>
          </x14:cfRule>
          <xm:sqref>E46</xm:sqref>
        </x14:conditionalFormatting>
        <x14:conditionalFormatting xmlns:xm="http://schemas.microsoft.com/office/excel/2006/main">
          <x14:cfRule type="expression" priority="77" id="{AE93888A-5743-4030-8EE7-B71330E7907B}">
            <xm:f>'0-Home'!$L$1="Currency: EUR"</xm:f>
            <x14:dxf>
              <numFmt numFmtId="170" formatCode="#,##0\ [$€-1]"/>
            </x14:dxf>
          </x14:cfRule>
          <x14:cfRule type="expression" priority="78" id="{024CDB3F-9F99-4FCD-BC2D-606052E09066}">
            <xm:f>'0-Home'!$L$1="Currency: USD"</xm:f>
            <x14:dxf>
              <numFmt numFmtId="171" formatCode="&quot;$&quot;#,##0"/>
            </x14:dxf>
          </x14:cfRule>
          <xm:sqref>G46</xm:sqref>
        </x14:conditionalFormatting>
        <x14:conditionalFormatting xmlns:xm="http://schemas.microsoft.com/office/excel/2006/main">
          <x14:cfRule type="expression" priority="75" id="{F938830A-D492-42FE-842E-D1F0B1E87CFA}">
            <xm:f>'0-Home'!$L$1="Currency: EUR"</xm:f>
            <x14:dxf>
              <numFmt numFmtId="170" formatCode="#,##0\ [$€-1]"/>
            </x14:dxf>
          </x14:cfRule>
          <x14:cfRule type="expression" priority="76" id="{4273C61B-5389-4BF6-BE52-666465263254}">
            <xm:f>'0-Home'!$L$1="Currency: USD"</xm:f>
            <x14:dxf>
              <numFmt numFmtId="171" formatCode="&quot;$&quot;#,##0"/>
            </x14:dxf>
          </x14:cfRule>
          <xm:sqref>I46</xm:sqref>
        </x14:conditionalFormatting>
        <x14:conditionalFormatting xmlns:xm="http://schemas.microsoft.com/office/excel/2006/main">
          <x14:cfRule type="expression" priority="73" id="{18BC3652-2BDC-4CB7-B3ED-14D96DD6394D}">
            <xm:f>'0-Home'!$L$1="Currency: EUR"</xm:f>
            <x14:dxf>
              <numFmt numFmtId="170" formatCode="#,##0\ [$€-1]"/>
            </x14:dxf>
          </x14:cfRule>
          <x14:cfRule type="expression" priority="74" id="{1355CC77-F4FF-493F-9E8A-DB0A04D75E75}">
            <xm:f>'0-Home'!$L$1="Currency: USD"</xm:f>
            <x14:dxf>
              <numFmt numFmtId="171" formatCode="&quot;$&quot;#,##0"/>
            </x14:dxf>
          </x14:cfRule>
          <xm:sqref>K46</xm:sqref>
        </x14:conditionalFormatting>
        <x14:conditionalFormatting xmlns:xm="http://schemas.microsoft.com/office/excel/2006/main">
          <x14:cfRule type="expression" priority="71" id="{026E08D0-7BE7-461D-883D-8C7397B95D2D}">
            <xm:f>'0-Home'!$L$1="Currency: USD"</xm:f>
            <x14:dxf>
              <numFmt numFmtId="171" formatCode="&quot;$&quot;#,##0"/>
            </x14:dxf>
          </x14:cfRule>
          <x14:cfRule type="expression" priority="72" id="{EB21F213-AB29-42EF-8EBE-D312F46B220D}">
            <xm:f>'0-Home'!$L$1="Currency: EUR"</xm:f>
            <x14:dxf>
              <numFmt numFmtId="170" formatCode="#,##0\ [$€-1]"/>
            </x14:dxf>
          </x14:cfRule>
          <xm:sqref>M52</xm:sqref>
        </x14:conditionalFormatting>
        <x14:conditionalFormatting xmlns:xm="http://schemas.microsoft.com/office/excel/2006/main">
          <x14:cfRule type="expression" priority="69" id="{522AC425-E01F-4EB6-A30C-95FD51086C1D}">
            <xm:f>'0-Home'!$L$1="Currency: USD"</xm:f>
            <x14:dxf>
              <numFmt numFmtId="171" formatCode="&quot;$&quot;#,##0"/>
            </x14:dxf>
          </x14:cfRule>
          <x14:cfRule type="expression" priority="70" id="{E15B7A0D-B782-4BDC-972E-9FDE35C62207}">
            <xm:f>'0-Home'!$L$1="Currency: EUR"</xm:f>
            <x14:dxf>
              <numFmt numFmtId="170" formatCode="#,##0\ [$€-1]"/>
            </x14:dxf>
          </x14:cfRule>
          <xm:sqref>M54</xm:sqref>
        </x14:conditionalFormatting>
        <x14:conditionalFormatting xmlns:xm="http://schemas.microsoft.com/office/excel/2006/main">
          <x14:cfRule type="expression" priority="67" id="{CFDE0D0F-8BF9-47B6-91D7-4667CE5DFFDA}">
            <xm:f>'0-Home'!$L$1="Currency: EUR"</xm:f>
            <x14:dxf>
              <numFmt numFmtId="170" formatCode="#,##0\ [$€-1]"/>
            </x14:dxf>
          </x14:cfRule>
          <x14:cfRule type="expression" priority="68" id="{FC093298-8596-499A-A8B8-3509C9ECD772}">
            <xm:f>'0-Home'!$L$1="Currency: USD"</xm:f>
            <x14:dxf>
              <numFmt numFmtId="171" formatCode="&quot;$&quot;#,##0"/>
            </x14:dxf>
          </x14:cfRule>
          <xm:sqref>O52</xm:sqref>
        </x14:conditionalFormatting>
        <x14:conditionalFormatting xmlns:xm="http://schemas.microsoft.com/office/excel/2006/main">
          <x14:cfRule type="expression" priority="65" id="{654406C0-EC7F-4681-AB48-64F4A9655D93}">
            <xm:f>'0-Home'!$L$1="Currency: EUR"</xm:f>
            <x14:dxf>
              <numFmt numFmtId="170" formatCode="#,##0\ [$€-1]"/>
            </x14:dxf>
          </x14:cfRule>
          <x14:cfRule type="expression" priority="66" id="{B84D12BB-8403-4778-B88F-9B3BE8227C67}">
            <xm:f>'0-Home'!$L$1="Currency: USD"</xm:f>
            <x14:dxf>
              <numFmt numFmtId="171" formatCode="&quot;$&quot;#,##0"/>
            </x14:dxf>
          </x14:cfRule>
          <xm:sqref>O54</xm:sqref>
        </x14:conditionalFormatting>
        <x14:conditionalFormatting xmlns:xm="http://schemas.microsoft.com/office/excel/2006/main">
          <x14:cfRule type="expression" priority="51" id="{A47A5095-80D0-4079-A52D-302CE519AE51}">
            <xm:f>'0-Home'!$L$1="Currency: EUR"</xm:f>
            <x14:dxf>
              <numFmt numFmtId="170" formatCode="#,##0\ [$€-1]"/>
            </x14:dxf>
          </x14:cfRule>
          <x14:cfRule type="expression" priority="52" id="{F3694A9C-CFCF-47D1-812A-57C487E27217}">
            <xm:f>'0-Home'!$L$1="Currency: USD"</xm:f>
            <x14:dxf>
              <numFmt numFmtId="171" formatCode="&quot;$&quot;#,##0"/>
            </x14:dxf>
          </x14:cfRule>
          <xm:sqref>K52</xm:sqref>
        </x14:conditionalFormatting>
        <x14:conditionalFormatting xmlns:xm="http://schemas.microsoft.com/office/excel/2006/main">
          <x14:cfRule type="expression" priority="49" id="{7C3FAA78-9427-4FB3-B5D3-1BDB8400B7FF}">
            <xm:f>'0-Home'!$L$1="Currency: EUR"</xm:f>
            <x14:dxf>
              <numFmt numFmtId="170" formatCode="#,##0\ [$€-1]"/>
            </x14:dxf>
          </x14:cfRule>
          <x14:cfRule type="expression" priority="50" id="{762560D5-0CF0-432B-9809-2BBC33C20800}">
            <xm:f>'0-Home'!$L$1="Currency: USD"</xm:f>
            <x14:dxf>
              <numFmt numFmtId="171" formatCode="&quot;$&quot;#,##0"/>
            </x14:dxf>
          </x14:cfRule>
          <xm:sqref>I52</xm:sqref>
        </x14:conditionalFormatting>
        <x14:conditionalFormatting xmlns:xm="http://schemas.microsoft.com/office/excel/2006/main">
          <x14:cfRule type="expression" priority="47" id="{75D42BB4-A181-440B-A0B2-DA5A2B2A4E44}">
            <xm:f>'0-Home'!$L$1="Currency: EUR"</xm:f>
            <x14:dxf>
              <numFmt numFmtId="170" formatCode="#,##0\ [$€-1]"/>
            </x14:dxf>
          </x14:cfRule>
          <x14:cfRule type="expression" priority="48" id="{420FEA8C-F685-44CA-BCE1-7DDB240979A7}">
            <xm:f>'0-Home'!$L$1="Currency: USD"</xm:f>
            <x14:dxf>
              <numFmt numFmtId="171" formatCode="&quot;$&quot;#,##0"/>
            </x14:dxf>
          </x14:cfRule>
          <xm:sqref>G52</xm:sqref>
        </x14:conditionalFormatting>
        <x14:conditionalFormatting xmlns:xm="http://schemas.microsoft.com/office/excel/2006/main">
          <x14:cfRule type="expression" priority="45" id="{4EF96B23-E1CC-4347-A6D7-3CFF742576CB}">
            <xm:f>'0-Home'!$L$1="Currency: EUR"</xm:f>
            <x14:dxf>
              <numFmt numFmtId="170" formatCode="#,##0\ [$€-1]"/>
            </x14:dxf>
          </x14:cfRule>
          <x14:cfRule type="expression" priority="46" id="{D308D745-8274-4B34-B69E-EBD6805EE4A5}">
            <xm:f>'0-Home'!$L$1="Currency: USD"</xm:f>
            <x14:dxf>
              <numFmt numFmtId="171" formatCode="&quot;$&quot;#,##0"/>
            </x14:dxf>
          </x14:cfRule>
          <xm:sqref>E52</xm:sqref>
        </x14:conditionalFormatting>
        <x14:conditionalFormatting xmlns:xm="http://schemas.microsoft.com/office/excel/2006/main">
          <x14:cfRule type="expression" priority="43" id="{CFB5CB56-B2EB-44EC-BF00-9609252A9493}">
            <xm:f>'0-Home'!$L$1="Currency: EUR"</xm:f>
            <x14:dxf>
              <numFmt numFmtId="170" formatCode="#,##0\ [$€-1]"/>
            </x14:dxf>
          </x14:cfRule>
          <x14:cfRule type="expression" priority="44" id="{99BE6FB2-7084-45B1-A1DE-C3B72CBA1A28}">
            <xm:f>'0-Home'!$L$1="Currency: USD"</xm:f>
            <x14:dxf>
              <numFmt numFmtId="171" formatCode="&quot;$&quot;#,##0"/>
            </x14:dxf>
          </x14:cfRule>
          <xm:sqref>E54</xm:sqref>
        </x14:conditionalFormatting>
        <x14:conditionalFormatting xmlns:xm="http://schemas.microsoft.com/office/excel/2006/main">
          <x14:cfRule type="expression" priority="41" id="{DF21773B-2310-46FB-9F42-C1EB91EF887E}">
            <xm:f>'0-Home'!$L$1="Currency: EUR"</xm:f>
            <x14:dxf>
              <numFmt numFmtId="170" formatCode="#,##0\ [$€-1]"/>
            </x14:dxf>
          </x14:cfRule>
          <x14:cfRule type="expression" priority="42" id="{8D75FFC2-BC99-4212-B7A1-9770D0030CE6}">
            <xm:f>'0-Home'!$L$1="Currency: USD"</xm:f>
            <x14:dxf>
              <numFmt numFmtId="171" formatCode="&quot;$&quot;#,##0"/>
            </x14:dxf>
          </x14:cfRule>
          <xm:sqref>G54</xm:sqref>
        </x14:conditionalFormatting>
        <x14:conditionalFormatting xmlns:xm="http://schemas.microsoft.com/office/excel/2006/main">
          <x14:cfRule type="expression" priority="39" id="{7B5B062A-BCE2-486F-98EF-392881ADA28D}">
            <xm:f>'0-Home'!$L$1="Currency: EUR"</xm:f>
            <x14:dxf>
              <numFmt numFmtId="170" formatCode="#,##0\ [$€-1]"/>
            </x14:dxf>
          </x14:cfRule>
          <x14:cfRule type="expression" priority="40" id="{68DAA5FF-1029-44B9-88DE-70C135F56B30}">
            <xm:f>'0-Home'!$L$1="Currency: USD"</xm:f>
            <x14:dxf>
              <numFmt numFmtId="171" formatCode="&quot;$&quot;#,##0"/>
            </x14:dxf>
          </x14:cfRule>
          <xm:sqref>I54</xm:sqref>
        </x14:conditionalFormatting>
        <x14:conditionalFormatting xmlns:xm="http://schemas.microsoft.com/office/excel/2006/main">
          <x14:cfRule type="expression" priority="37" id="{8A19A62E-1F37-4C50-94A4-93DB2A2F0ADB}">
            <xm:f>'0-Home'!$L$1="Currency: EUR"</xm:f>
            <x14:dxf>
              <numFmt numFmtId="170" formatCode="#,##0\ [$€-1]"/>
            </x14:dxf>
          </x14:cfRule>
          <x14:cfRule type="expression" priority="38" id="{D93DA0C8-0D93-4467-A3C3-F9CAC732B4B3}">
            <xm:f>'0-Home'!$L$1="Currency: USD"</xm:f>
            <x14:dxf>
              <numFmt numFmtId="171" formatCode="&quot;$&quot;#,##0"/>
            </x14:dxf>
          </x14:cfRule>
          <xm:sqref>K54</xm:sqref>
        </x14:conditionalFormatting>
        <x14:conditionalFormatting xmlns:xm="http://schemas.microsoft.com/office/excel/2006/main">
          <x14:cfRule type="expression" priority="35" id="{D9CD81A8-E160-496F-835F-6F1AF51405E0}">
            <xm:f>'0-Home'!$L$1="Currency: USD"</xm:f>
            <x14:dxf>
              <numFmt numFmtId="171" formatCode="&quot;$&quot;#,##0"/>
            </x14:dxf>
          </x14:cfRule>
          <x14:cfRule type="expression" priority="36" id="{B8C521C7-F05C-43A2-AD79-46B31A42056B}">
            <xm:f>'0-Home'!$L$1="Currency: EUR"</xm:f>
            <x14:dxf>
              <numFmt numFmtId="170" formatCode="#,##0\ [$€-1]"/>
            </x14:dxf>
          </x14:cfRule>
          <xm:sqref>E40</xm:sqref>
        </x14:conditionalFormatting>
        <x14:conditionalFormatting xmlns:xm="http://schemas.microsoft.com/office/excel/2006/main">
          <x14:cfRule type="expression" priority="33" id="{AF7F1F2B-4CA6-494D-B3D3-4046702D9693}">
            <xm:f>'0-Home'!$L$1="Currency: USD"</xm:f>
            <x14:dxf>
              <numFmt numFmtId="171" formatCode="&quot;$&quot;#,##0"/>
            </x14:dxf>
          </x14:cfRule>
          <x14:cfRule type="expression" priority="34" id="{572855A5-D15D-4AE3-9163-FB52B52FC131}">
            <xm:f>'0-Home'!$L$1="Currency: EUR"</xm:f>
            <x14:dxf>
              <numFmt numFmtId="170" formatCode="#,##0\ [$€-1]"/>
            </x14:dxf>
          </x14:cfRule>
          <xm:sqref>G40</xm:sqref>
        </x14:conditionalFormatting>
        <x14:conditionalFormatting xmlns:xm="http://schemas.microsoft.com/office/excel/2006/main">
          <x14:cfRule type="expression" priority="31" id="{75810372-67DF-4550-A9A9-113385C77896}">
            <xm:f>'0-Home'!$L$1="Currency: USD"</xm:f>
            <x14:dxf>
              <numFmt numFmtId="171" formatCode="&quot;$&quot;#,##0"/>
            </x14:dxf>
          </x14:cfRule>
          <x14:cfRule type="expression" priority="32" id="{0219D3D0-CFDF-4107-8738-0C22D5570B26}">
            <xm:f>'0-Home'!$L$1="Currency: EUR"</xm:f>
            <x14:dxf>
              <numFmt numFmtId="170" formatCode="#,##0\ [$€-1]"/>
            </x14:dxf>
          </x14:cfRule>
          <xm:sqref>I40</xm:sqref>
        </x14:conditionalFormatting>
        <x14:conditionalFormatting xmlns:xm="http://schemas.microsoft.com/office/excel/2006/main">
          <x14:cfRule type="expression" priority="29" id="{7740973D-5178-4443-8E57-8F97B6523560}">
            <xm:f>'0-Home'!$L$1="Currency: USD"</xm:f>
            <x14:dxf>
              <numFmt numFmtId="171" formatCode="&quot;$&quot;#,##0"/>
            </x14:dxf>
          </x14:cfRule>
          <x14:cfRule type="expression" priority="30" id="{AF4C5AB0-D8BD-4794-AD55-11698C38B568}">
            <xm:f>'0-Home'!$L$1="Currency: EUR"</xm:f>
            <x14:dxf>
              <numFmt numFmtId="170" formatCode="#,##0\ [$€-1]"/>
            </x14:dxf>
          </x14:cfRule>
          <xm:sqref>K40</xm:sqref>
        </x14:conditionalFormatting>
        <x14:conditionalFormatting xmlns:xm="http://schemas.microsoft.com/office/excel/2006/main">
          <x14:cfRule type="expression" priority="27" id="{3D72E72E-FB0B-4D8A-AE66-E62C7EF94436}">
            <xm:f>'0-Home'!$L$1="Currency: USD"</xm:f>
            <x14:dxf>
              <numFmt numFmtId="171" formatCode="&quot;$&quot;#,##0"/>
            </x14:dxf>
          </x14:cfRule>
          <x14:cfRule type="expression" priority="28" id="{F8F6492A-7A89-4BC6-B0D7-1944D8FE925D}">
            <xm:f>'0-Home'!$L$1="Currency: EUR"</xm:f>
            <x14:dxf>
              <numFmt numFmtId="170" formatCode="#,##0\ [$€-1]"/>
            </x14:dxf>
          </x14:cfRule>
          <xm:sqref>M40</xm:sqref>
        </x14:conditionalFormatting>
        <x14:conditionalFormatting xmlns:xm="http://schemas.microsoft.com/office/excel/2006/main">
          <x14:cfRule type="expression" priority="25" id="{B5124FB8-0B05-4D2E-8223-3FEB1FE78C06}">
            <xm:f>'0-Home'!$L$1="Currency: USD"</xm:f>
            <x14:dxf>
              <numFmt numFmtId="171" formatCode="&quot;$&quot;#,##0"/>
            </x14:dxf>
          </x14:cfRule>
          <x14:cfRule type="expression" priority="26" id="{A5893C59-A5BC-440F-82EC-29DD44A4A702}">
            <xm:f>'0-Home'!$L$1="Currency: EUR"</xm:f>
            <x14:dxf>
              <numFmt numFmtId="170" formatCode="#,##0\ [$€-1]"/>
            </x14:dxf>
          </x14:cfRule>
          <xm:sqref>O40</xm:sqref>
        </x14:conditionalFormatting>
        <x14:conditionalFormatting xmlns:xm="http://schemas.microsoft.com/office/excel/2006/main">
          <x14:cfRule type="expression" priority="23" id="{E6FB157E-DE82-4079-997C-3A55088036E9}">
            <xm:f>'0-Home'!$L$1="Currency: USD"</xm:f>
            <x14:dxf>
              <numFmt numFmtId="171" formatCode="&quot;$&quot;#,##0"/>
            </x14:dxf>
          </x14:cfRule>
          <x14:cfRule type="expression" priority="24" id="{B53EC7B5-6F9A-48FA-A7FA-3AEC42011E3E}">
            <xm:f>'0-Home'!$L$1="Currency: EUR"</xm:f>
            <x14:dxf>
              <numFmt numFmtId="170" formatCode="#,##0\ [$€-1]"/>
            </x14:dxf>
          </x14:cfRule>
          <xm:sqref>E48</xm:sqref>
        </x14:conditionalFormatting>
        <x14:conditionalFormatting xmlns:xm="http://schemas.microsoft.com/office/excel/2006/main">
          <x14:cfRule type="expression" priority="21" id="{CE16D153-375C-440D-931E-B355CBC5FDEB}">
            <xm:f>'0-Home'!$L$1="Currency: USD"</xm:f>
            <x14:dxf>
              <numFmt numFmtId="171" formatCode="&quot;$&quot;#,##0"/>
            </x14:dxf>
          </x14:cfRule>
          <x14:cfRule type="expression" priority="22" id="{0C7F1BF6-7237-433E-B865-8637601479A3}">
            <xm:f>'0-Home'!$L$1="Currency: EUR"</xm:f>
            <x14:dxf>
              <numFmt numFmtId="170" formatCode="#,##0\ [$€-1]"/>
            </x14:dxf>
          </x14:cfRule>
          <xm:sqref>G48</xm:sqref>
        </x14:conditionalFormatting>
        <x14:conditionalFormatting xmlns:xm="http://schemas.microsoft.com/office/excel/2006/main">
          <x14:cfRule type="expression" priority="19" id="{3D8F8723-88A0-48D8-98C0-2B7515DC7A3B}">
            <xm:f>'0-Home'!$L$1="Currency: USD"</xm:f>
            <x14:dxf>
              <numFmt numFmtId="171" formatCode="&quot;$&quot;#,##0"/>
            </x14:dxf>
          </x14:cfRule>
          <x14:cfRule type="expression" priority="20" id="{ECCF2ECC-C5F8-4F95-862A-B17A4CEB45DC}">
            <xm:f>'0-Home'!$L$1="Currency: EUR"</xm:f>
            <x14:dxf>
              <numFmt numFmtId="170" formatCode="#,##0\ [$€-1]"/>
            </x14:dxf>
          </x14:cfRule>
          <xm:sqref>I48</xm:sqref>
        </x14:conditionalFormatting>
        <x14:conditionalFormatting xmlns:xm="http://schemas.microsoft.com/office/excel/2006/main">
          <x14:cfRule type="expression" priority="17" id="{4A2A65BE-A7F7-4353-A20C-144E218B6343}">
            <xm:f>'0-Home'!$L$1="Currency: USD"</xm:f>
            <x14:dxf>
              <numFmt numFmtId="171" formatCode="&quot;$&quot;#,##0"/>
            </x14:dxf>
          </x14:cfRule>
          <x14:cfRule type="expression" priority="18" id="{5715ACE1-64EA-481D-B6A9-336C3F0BB9C0}">
            <xm:f>'0-Home'!$L$1="Currency: EUR"</xm:f>
            <x14:dxf>
              <numFmt numFmtId="170" formatCode="#,##0\ [$€-1]"/>
            </x14:dxf>
          </x14:cfRule>
          <xm:sqref>K48</xm:sqref>
        </x14:conditionalFormatting>
        <x14:conditionalFormatting xmlns:xm="http://schemas.microsoft.com/office/excel/2006/main">
          <x14:cfRule type="expression" priority="15" id="{ED586655-4B1F-4280-8F37-EB99585557EB}">
            <xm:f>'0-Home'!$L$1="Currency: USD"</xm:f>
            <x14:dxf>
              <numFmt numFmtId="171" formatCode="&quot;$&quot;#,##0"/>
            </x14:dxf>
          </x14:cfRule>
          <x14:cfRule type="expression" priority="16" id="{35DAC778-798F-4BD8-ADB1-B1AF48945788}">
            <xm:f>'0-Home'!$L$1="Currency: EUR"</xm:f>
            <x14:dxf>
              <numFmt numFmtId="170" formatCode="#,##0\ [$€-1]"/>
            </x14:dxf>
          </x14:cfRule>
          <xm:sqref>M48</xm:sqref>
        </x14:conditionalFormatting>
        <x14:conditionalFormatting xmlns:xm="http://schemas.microsoft.com/office/excel/2006/main">
          <x14:cfRule type="expression" priority="13" id="{75B3B84F-17A2-476B-BFB0-41C2EA728118}">
            <xm:f>'0-Home'!$L$1="Currency: USD"</xm:f>
            <x14:dxf>
              <numFmt numFmtId="171" formatCode="&quot;$&quot;#,##0"/>
            </x14:dxf>
          </x14:cfRule>
          <x14:cfRule type="expression" priority="14" id="{8273C126-E2E2-44A3-913D-8FE798C04839}">
            <xm:f>'0-Home'!$L$1="Currency: EUR"</xm:f>
            <x14:dxf>
              <numFmt numFmtId="170" formatCode="#,##0\ [$€-1]"/>
            </x14:dxf>
          </x14:cfRule>
          <xm:sqref>O48</xm:sqref>
        </x14:conditionalFormatting>
        <x14:conditionalFormatting xmlns:xm="http://schemas.microsoft.com/office/excel/2006/main">
          <x14:cfRule type="expression" priority="11" id="{0078B1F5-E198-4B8E-99DF-FC364C518F7B}">
            <xm:f>'0-Home'!$L$1="Currency: USD"</xm:f>
            <x14:dxf>
              <numFmt numFmtId="171" formatCode="&quot;$&quot;#,##0"/>
            </x14:dxf>
          </x14:cfRule>
          <x14:cfRule type="expression" priority="12" id="{D2593A7E-F36C-4EB5-A480-6ECD5E835734}">
            <xm:f>'0-Home'!$L$1="Currency: EUR"</xm:f>
            <x14:dxf>
              <numFmt numFmtId="170" formatCode="#,##0\ [$€-1]"/>
            </x14:dxf>
          </x14:cfRule>
          <xm:sqref>E56</xm:sqref>
        </x14:conditionalFormatting>
        <x14:conditionalFormatting xmlns:xm="http://schemas.microsoft.com/office/excel/2006/main">
          <x14:cfRule type="expression" priority="9" id="{DD04D70B-89C3-405E-815D-85B47F3A8108}">
            <xm:f>'0-Home'!$L$1="Currency: USD"</xm:f>
            <x14:dxf>
              <numFmt numFmtId="171" formatCode="&quot;$&quot;#,##0"/>
            </x14:dxf>
          </x14:cfRule>
          <x14:cfRule type="expression" priority="10" id="{A8A1B52C-67D2-44E8-9539-672648042D13}">
            <xm:f>'0-Home'!$L$1="Currency: EUR"</xm:f>
            <x14:dxf>
              <numFmt numFmtId="170" formatCode="#,##0\ [$€-1]"/>
            </x14:dxf>
          </x14:cfRule>
          <xm:sqref>G56</xm:sqref>
        </x14:conditionalFormatting>
        <x14:conditionalFormatting xmlns:xm="http://schemas.microsoft.com/office/excel/2006/main">
          <x14:cfRule type="expression" priority="7" id="{310D440C-77E4-486B-835F-8D082441DB77}">
            <xm:f>'0-Home'!$L$1="Currency: USD"</xm:f>
            <x14:dxf>
              <numFmt numFmtId="171" formatCode="&quot;$&quot;#,##0"/>
            </x14:dxf>
          </x14:cfRule>
          <x14:cfRule type="expression" priority="8" id="{961CAD3E-FEA8-4CD9-BB7E-9E469598FA34}">
            <xm:f>'0-Home'!$L$1="Currency: EUR"</xm:f>
            <x14:dxf>
              <numFmt numFmtId="170" formatCode="#,##0\ [$€-1]"/>
            </x14:dxf>
          </x14:cfRule>
          <xm:sqref>I56</xm:sqref>
        </x14:conditionalFormatting>
        <x14:conditionalFormatting xmlns:xm="http://schemas.microsoft.com/office/excel/2006/main">
          <x14:cfRule type="expression" priority="5" id="{39DA3572-3E84-4507-BEAC-3C94B2191B8D}">
            <xm:f>'0-Home'!$L$1="Currency: USD"</xm:f>
            <x14:dxf>
              <numFmt numFmtId="171" formatCode="&quot;$&quot;#,##0"/>
            </x14:dxf>
          </x14:cfRule>
          <x14:cfRule type="expression" priority="6" id="{ED00EF94-646A-40AF-B7B9-03B1EDBE60AE}">
            <xm:f>'0-Home'!$L$1="Currency: EUR"</xm:f>
            <x14:dxf>
              <numFmt numFmtId="170" formatCode="#,##0\ [$€-1]"/>
            </x14:dxf>
          </x14:cfRule>
          <xm:sqref>K56</xm:sqref>
        </x14:conditionalFormatting>
        <x14:conditionalFormatting xmlns:xm="http://schemas.microsoft.com/office/excel/2006/main">
          <x14:cfRule type="expression" priority="3" id="{1D3AF18A-F97C-4D49-AC8C-3CC33F6B7723}">
            <xm:f>'0-Home'!$L$1="Currency: USD"</xm:f>
            <x14:dxf>
              <numFmt numFmtId="171" formatCode="&quot;$&quot;#,##0"/>
            </x14:dxf>
          </x14:cfRule>
          <x14:cfRule type="expression" priority="4" id="{70136BA4-B6A2-4BC5-954D-1D68A761C761}">
            <xm:f>'0-Home'!$L$1="Currency: EUR"</xm:f>
            <x14:dxf>
              <numFmt numFmtId="170" formatCode="#,##0\ [$€-1]"/>
            </x14:dxf>
          </x14:cfRule>
          <xm:sqref>M56</xm:sqref>
        </x14:conditionalFormatting>
        <x14:conditionalFormatting xmlns:xm="http://schemas.microsoft.com/office/excel/2006/main">
          <x14:cfRule type="expression" priority="1" id="{E7C38577-03AB-4F86-85F8-EC04FB26C433}">
            <xm:f>'0-Home'!$L$1="Currency: USD"</xm:f>
            <x14:dxf>
              <numFmt numFmtId="171" formatCode="&quot;$&quot;#,##0"/>
            </x14:dxf>
          </x14:cfRule>
          <x14:cfRule type="expression" priority="2" id="{75EBF96D-E31F-48F4-B11A-90C3BB2F0F9E}">
            <xm:f>'0-Home'!$L$1="Currency: EUR"</xm:f>
            <x14:dxf>
              <numFmt numFmtId="170" formatCode="#,##0\ [$€-1]"/>
            </x14:dxf>
          </x14:cfRule>
          <xm:sqref>O56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95816-23B7-496D-A37F-4852ECA9F143}">
  <sheetPr codeName="Sheet5">
    <tabColor rgb="FF3CAEA3"/>
  </sheetPr>
  <dimension ref="A1:V180"/>
  <sheetViews>
    <sheetView showRowColHeaders="0" zoomScale="80" zoomScaleNormal="80" workbookViewId="0">
      <pane ySplit="7" topLeftCell="A8" activePane="bottomLeft" state="frozen"/>
      <selection pane="bottomLeft" activeCell="E18" sqref="E18"/>
    </sheetView>
  </sheetViews>
  <sheetFormatPr baseColWidth="10" defaultColWidth="0" defaultRowHeight="12.75" customHeight="1" zeroHeight="1"/>
  <cols>
    <col min="1" max="1" width="5.81640625" style="18" customWidth="1"/>
    <col min="2" max="2" width="13" style="18" customWidth="1"/>
    <col min="3" max="3" width="70.453125" style="18" customWidth="1"/>
    <col min="4" max="4" width="2.81640625" style="18" customWidth="1"/>
    <col min="5" max="5" width="25.1796875" style="18" customWidth="1"/>
    <col min="6" max="6" width="9.1796875" style="18" customWidth="1"/>
    <col min="7" max="7" width="25.1796875" style="18" customWidth="1"/>
    <col min="8" max="8" width="9.1796875" style="18" customWidth="1"/>
    <col min="9" max="9" width="25.1796875" style="18" customWidth="1"/>
    <col min="10" max="10" width="10.81640625" style="18" customWidth="1"/>
    <col min="11" max="11" width="33.453125" style="18" customWidth="1"/>
    <col min="12" max="15" width="9.1796875" style="18" customWidth="1"/>
    <col min="16" max="16" width="2.1796875" style="18" customWidth="1"/>
    <col min="17" max="19" width="0" style="18" hidden="1" customWidth="1"/>
    <col min="20" max="16384" width="9.1796875" style="18" hidden="1"/>
  </cols>
  <sheetData>
    <row r="1" spans="2:16" ht="48" customHeight="1"/>
    <row r="2" spans="2:16" ht="15.5">
      <c r="B2" s="19"/>
      <c r="C2" s="19"/>
      <c r="D2" s="19"/>
      <c r="E2" s="19"/>
      <c r="F2" s="19"/>
      <c r="G2" s="19"/>
      <c r="H2" s="19"/>
      <c r="I2" s="19"/>
      <c r="J2" s="19"/>
      <c r="K2" s="19"/>
      <c r="L2" s="19"/>
    </row>
    <row r="3" spans="2:16" ht="15.5">
      <c r="B3" s="19"/>
      <c r="C3" s="19"/>
      <c r="D3" s="19"/>
      <c r="E3" s="19"/>
      <c r="F3" s="19"/>
      <c r="G3" s="19"/>
      <c r="H3" s="19"/>
      <c r="I3" s="19"/>
      <c r="J3" s="19"/>
      <c r="K3" s="19"/>
      <c r="L3" s="19"/>
    </row>
    <row r="4" spans="2:16" ht="15.5">
      <c r="B4" s="19"/>
      <c r="C4" s="19"/>
      <c r="D4" s="19"/>
      <c r="E4" s="19"/>
      <c r="F4" s="19"/>
      <c r="G4" s="19"/>
      <c r="H4" s="19"/>
      <c r="I4" s="19"/>
      <c r="J4" s="19"/>
      <c r="K4" s="19"/>
      <c r="L4" s="19"/>
    </row>
    <row r="5" spans="2:16" ht="15.5">
      <c r="B5" s="19"/>
      <c r="C5" s="19"/>
      <c r="D5" s="19"/>
      <c r="E5" s="19"/>
      <c r="F5" s="19"/>
      <c r="G5" s="19"/>
      <c r="H5" s="19"/>
      <c r="I5" s="19"/>
      <c r="J5" s="19"/>
      <c r="K5" s="19"/>
      <c r="L5" s="19"/>
    </row>
    <row r="6" spans="2:16" ht="15.5">
      <c r="B6" s="19"/>
      <c r="C6" s="19"/>
      <c r="D6" s="19"/>
      <c r="E6" s="19"/>
      <c r="F6" s="19"/>
      <c r="G6" s="19"/>
      <c r="H6" s="19"/>
      <c r="I6" s="19"/>
      <c r="J6" s="19"/>
      <c r="K6" s="19"/>
      <c r="L6" s="19"/>
    </row>
    <row r="7" spans="2:16" ht="15.5">
      <c r="B7" s="97"/>
      <c r="C7" s="97"/>
      <c r="D7" s="97"/>
      <c r="E7" s="97"/>
      <c r="F7" s="97"/>
      <c r="G7" s="97"/>
      <c r="H7" s="97"/>
      <c r="I7" s="97"/>
      <c r="J7" s="97"/>
      <c r="K7" s="97"/>
      <c r="L7" s="97"/>
    </row>
    <row r="8" spans="2:16" ht="15.5">
      <c r="B8" s="25"/>
      <c r="C8" s="25"/>
      <c r="D8" s="25"/>
      <c r="E8" s="25"/>
      <c r="F8" s="25"/>
      <c r="G8" s="25"/>
      <c r="H8" s="25"/>
      <c r="I8" s="25"/>
      <c r="J8" s="25"/>
      <c r="K8" s="25"/>
      <c r="L8" s="25"/>
      <c r="M8" s="44"/>
      <c r="N8" s="44"/>
      <c r="O8" s="44"/>
      <c r="P8" s="44"/>
    </row>
    <row r="9" spans="2:16" ht="30" customHeight="1">
      <c r="B9" s="314"/>
      <c r="C9" s="314"/>
      <c r="D9" s="45"/>
      <c r="E9" s="46"/>
      <c r="F9" s="45"/>
      <c r="G9" s="46"/>
      <c r="H9" s="46"/>
      <c r="I9" s="52"/>
      <c r="J9" s="47"/>
      <c r="K9" s="98"/>
      <c r="L9" s="25"/>
      <c r="M9" s="44"/>
      <c r="N9" s="44"/>
      <c r="O9" s="44"/>
      <c r="P9" s="44"/>
    </row>
    <row r="10" spans="2:16" ht="15.75" customHeight="1">
      <c r="B10" s="314" t="s">
        <v>398</v>
      </c>
      <c r="C10" s="314"/>
      <c r="D10" s="45"/>
      <c r="E10" s="207">
        <f>I24+I32+I40+I48+I56+I64+I72</f>
        <v>577100</v>
      </c>
      <c r="F10" s="45"/>
      <c r="G10" s="207">
        <f>I26+I34+I42+I50+I58+I66+I74</f>
        <v>865650</v>
      </c>
      <c r="H10" s="46"/>
      <c r="I10" s="207">
        <f>IF(OR(E10="",G10=""),E10+G10,AVERAGE(E10,G10))</f>
        <v>721375</v>
      </c>
      <c r="J10" s="47"/>
      <c r="K10" s="47"/>
      <c r="L10" s="47"/>
      <c r="M10" s="99"/>
      <c r="N10" s="99"/>
      <c r="O10" s="99"/>
      <c r="P10" s="44"/>
    </row>
    <row r="11" spans="2:16" ht="15.75" customHeight="1">
      <c r="B11" s="45"/>
      <c r="C11" s="45"/>
      <c r="D11" s="45"/>
      <c r="E11" s="48" t="s">
        <v>10</v>
      </c>
      <c r="F11" s="45"/>
      <c r="G11" s="48" t="s">
        <v>11</v>
      </c>
      <c r="H11" s="48"/>
      <c r="I11" s="48" t="s">
        <v>12</v>
      </c>
      <c r="J11" s="49"/>
      <c r="K11" s="47"/>
      <c r="L11" s="47"/>
      <c r="M11" s="99"/>
      <c r="N11" s="99"/>
      <c r="O11" s="99"/>
      <c r="P11" s="44"/>
    </row>
    <row r="12" spans="2:16" ht="15.75" customHeight="1">
      <c r="B12" s="45"/>
      <c r="C12" s="50"/>
      <c r="D12" s="45"/>
      <c r="E12" s="51"/>
      <c r="F12" s="45"/>
      <c r="G12" s="45"/>
      <c r="H12" s="45"/>
      <c r="I12" s="45"/>
      <c r="J12" s="45"/>
      <c r="K12" s="47"/>
      <c r="L12" s="47"/>
      <c r="M12" s="99"/>
      <c r="N12" s="99"/>
      <c r="O12" s="99"/>
      <c r="P12" s="44"/>
    </row>
    <row r="13" spans="2:16" ht="15.75" customHeight="1">
      <c r="B13" s="314"/>
      <c r="C13" s="314"/>
      <c r="D13" s="45"/>
      <c r="E13" s="46"/>
      <c r="F13" s="45"/>
      <c r="G13" s="46"/>
      <c r="H13" s="46"/>
      <c r="I13" s="52"/>
      <c r="J13" s="45"/>
      <c r="K13" s="47"/>
      <c r="L13" s="47"/>
      <c r="M13" s="99"/>
      <c r="N13" s="99"/>
      <c r="O13" s="99"/>
      <c r="P13" s="44"/>
    </row>
    <row r="14" spans="2:16" ht="15.75" customHeight="1">
      <c r="B14" s="53"/>
      <c r="C14" s="53"/>
      <c r="D14" s="45"/>
      <c r="E14" s="48"/>
      <c r="F14" s="45"/>
      <c r="G14" s="48"/>
      <c r="H14" s="48"/>
      <c r="I14" s="48"/>
      <c r="J14" s="45"/>
      <c r="K14" s="45"/>
      <c r="L14" s="45"/>
      <c r="M14" s="100"/>
      <c r="N14" s="100"/>
      <c r="O14" s="100"/>
      <c r="P14" s="44"/>
    </row>
    <row r="15" spans="2:16" ht="15.75" customHeight="1">
      <c r="B15" s="314" t="s">
        <v>401</v>
      </c>
      <c r="C15" s="314"/>
      <c r="D15" s="45"/>
      <c r="E15" s="207">
        <f>I82+I90+I98+I106+I114</f>
        <v>893677</v>
      </c>
      <c r="F15" s="45"/>
      <c r="G15" s="207">
        <f>I84+I92+I100+I108+I116</f>
        <v>1340516</v>
      </c>
      <c r="H15" s="46"/>
      <c r="I15" s="207">
        <f>IF(OR(E15="",G15=""),E15+G15,AVERAGE(E15,G15))</f>
        <v>1117096.5</v>
      </c>
      <c r="J15" s="47"/>
      <c r="K15" s="47"/>
      <c r="L15" s="47"/>
      <c r="M15" s="99"/>
      <c r="N15" s="99"/>
      <c r="O15" s="99"/>
      <c r="P15" s="44"/>
    </row>
    <row r="16" spans="2:16" ht="15.75" customHeight="1">
      <c r="B16" s="45"/>
      <c r="C16" s="45"/>
      <c r="D16" s="45"/>
      <c r="E16" s="48" t="s">
        <v>10</v>
      </c>
      <c r="F16" s="45"/>
      <c r="G16" s="48" t="s">
        <v>11</v>
      </c>
      <c r="H16" s="48"/>
      <c r="I16" s="48" t="s">
        <v>12</v>
      </c>
      <c r="J16" s="49"/>
      <c r="K16" s="47"/>
      <c r="L16" s="47"/>
      <c r="M16" s="99"/>
      <c r="N16" s="99"/>
      <c r="O16" s="99"/>
      <c r="P16" s="44"/>
    </row>
    <row r="17" spans="2:16" ht="15.75" customHeight="1">
      <c r="B17" s="45"/>
      <c r="C17" s="50"/>
      <c r="D17" s="45"/>
      <c r="E17" s="51"/>
      <c r="F17" s="45"/>
      <c r="G17" s="45"/>
      <c r="H17" s="45"/>
      <c r="I17" s="45"/>
      <c r="J17" s="45"/>
      <c r="K17" s="331"/>
      <c r="L17" s="47"/>
      <c r="M17" s="99"/>
      <c r="N17" s="99"/>
      <c r="O17" s="99"/>
      <c r="P17" s="44"/>
    </row>
    <row r="18" spans="2:16" ht="15.75" customHeight="1">
      <c r="B18" s="314" t="s">
        <v>402</v>
      </c>
      <c r="C18" s="314"/>
      <c r="D18" s="45"/>
      <c r="E18" s="271">
        <v>0.1</v>
      </c>
      <c r="F18" s="236"/>
      <c r="G18" s="271">
        <v>0.15</v>
      </c>
      <c r="H18" s="235"/>
      <c r="I18" s="272">
        <v>0.125</v>
      </c>
      <c r="J18" s="45"/>
      <c r="K18" s="332"/>
      <c r="L18" s="47"/>
      <c r="M18" s="99"/>
      <c r="N18" s="99"/>
      <c r="O18" s="99"/>
      <c r="P18" s="44"/>
    </row>
    <row r="19" spans="2:16" ht="15.75" customHeight="1">
      <c r="B19" s="314"/>
      <c r="C19" s="314"/>
      <c r="D19" s="45"/>
      <c r="E19" s="274" t="s">
        <v>10</v>
      </c>
      <c r="F19" s="45"/>
      <c r="G19" s="274" t="s">
        <v>11</v>
      </c>
      <c r="H19" s="274"/>
      <c r="I19" s="274" t="s">
        <v>12</v>
      </c>
      <c r="J19" s="45"/>
      <c r="K19" s="332"/>
      <c r="L19" s="47"/>
      <c r="M19" s="99"/>
      <c r="N19" s="99"/>
      <c r="O19" s="99"/>
      <c r="P19" s="44"/>
    </row>
    <row r="20" spans="2:16" ht="15.75" customHeight="1">
      <c r="B20" s="57"/>
      <c r="C20" s="57"/>
      <c r="D20" s="57"/>
      <c r="E20" s="57"/>
      <c r="F20" s="57"/>
      <c r="G20" s="57"/>
      <c r="H20" s="45"/>
      <c r="I20" s="45"/>
      <c r="J20" s="45"/>
      <c r="K20" s="244"/>
      <c r="L20" s="45"/>
      <c r="M20" s="101"/>
      <c r="N20" s="44"/>
      <c r="O20" s="102"/>
      <c r="P20" s="44"/>
    </row>
    <row r="21" spans="2:16" ht="15.75" customHeight="1">
      <c r="B21" s="63" t="s">
        <v>399</v>
      </c>
      <c r="C21" s="45"/>
      <c r="D21" s="45"/>
      <c r="E21" s="48"/>
      <c r="F21" s="45"/>
      <c r="G21" s="48"/>
      <c r="H21" s="48"/>
      <c r="I21" s="48"/>
      <c r="J21" s="49"/>
      <c r="K21" s="98"/>
      <c r="L21" s="25"/>
      <c r="M21" s="44"/>
      <c r="N21" s="44"/>
      <c r="O21" s="44"/>
      <c r="P21" s="44"/>
    </row>
    <row r="22" spans="2:16" ht="15.75" customHeight="1">
      <c r="B22" s="103"/>
      <c r="C22" s="45"/>
      <c r="D22" s="45"/>
      <c r="E22" s="48"/>
      <c r="F22" s="45"/>
      <c r="G22" s="48"/>
      <c r="H22" s="48"/>
      <c r="I22" s="48"/>
      <c r="J22" s="49"/>
      <c r="K22" s="98"/>
      <c r="L22" s="25"/>
      <c r="M22" s="44"/>
      <c r="N22" s="44"/>
      <c r="O22" s="44"/>
      <c r="P22" s="44"/>
    </row>
    <row r="23" spans="2:16" ht="25.5" customHeight="1">
      <c r="B23" s="45"/>
      <c r="C23" s="50"/>
      <c r="D23" s="45"/>
      <c r="E23" s="210" t="s">
        <v>295</v>
      </c>
      <c r="F23" s="104" t="s">
        <v>148</v>
      </c>
      <c r="G23" s="69" t="s">
        <v>150</v>
      </c>
      <c r="H23" s="45"/>
      <c r="I23" s="69" t="s">
        <v>149</v>
      </c>
      <c r="J23" s="45"/>
      <c r="K23" s="105" t="s">
        <v>144</v>
      </c>
      <c r="L23" s="25"/>
      <c r="M23" s="44"/>
      <c r="N23" s="44"/>
      <c r="O23" s="44"/>
      <c r="P23" s="44"/>
    </row>
    <row r="24" spans="2:16" ht="30" customHeight="1">
      <c r="B24" s="324" t="s">
        <v>352</v>
      </c>
      <c r="C24" s="324"/>
      <c r="D24" s="45"/>
      <c r="E24" s="209"/>
      <c r="F24" s="45"/>
      <c r="G24" s="73">
        <v>62100</v>
      </c>
      <c r="H24" s="46"/>
      <c r="I24" s="207">
        <f>IF(E24="",G24,E24*VLOOKUP(E23,'1-Description'!$A$54:$K$61,9,0)/VLOOKUP(E23,'1-Description'!$A$54:$K$61,11,0))</f>
        <v>62100</v>
      </c>
      <c r="J24" s="45"/>
      <c r="K24" s="106" t="s">
        <v>337</v>
      </c>
      <c r="L24" s="25"/>
      <c r="M24" s="44"/>
      <c r="N24" s="44"/>
      <c r="O24" s="44"/>
      <c r="P24" s="44"/>
    </row>
    <row r="25" spans="2:16" ht="15.75" customHeight="1">
      <c r="B25" s="327" t="s">
        <v>354</v>
      </c>
      <c r="C25" s="326"/>
      <c r="D25" s="45"/>
      <c r="E25" s="48" t="s">
        <v>286</v>
      </c>
      <c r="F25" s="45"/>
      <c r="G25" s="48" t="s">
        <v>10</v>
      </c>
      <c r="H25" s="48"/>
      <c r="I25" s="48" t="s">
        <v>10</v>
      </c>
      <c r="J25" s="107"/>
      <c r="K25" s="98"/>
      <c r="L25" s="25"/>
      <c r="M25" s="44"/>
      <c r="N25" s="44"/>
      <c r="O25" s="44"/>
      <c r="P25" s="44"/>
    </row>
    <row r="26" spans="2:16" ht="30" customHeight="1">
      <c r="B26" s="326"/>
      <c r="C26" s="326"/>
      <c r="D26" s="25"/>
      <c r="E26" s="209"/>
      <c r="F26" s="25"/>
      <c r="G26" s="73">
        <v>93150</v>
      </c>
      <c r="H26" s="25"/>
      <c r="I26" s="207">
        <f>IF(E26="",G26,E26*VLOOKUP(E23,'1-Description'!$A$54:$K$61,9,0)/VLOOKUP(E23,'1-Description'!$A$54:$K$61,11,0))</f>
        <v>93150</v>
      </c>
      <c r="J26" s="25"/>
      <c r="K26" s="106" t="s">
        <v>337</v>
      </c>
      <c r="L26" s="25"/>
      <c r="M26" s="44"/>
      <c r="N26" s="44"/>
      <c r="O26" s="44"/>
      <c r="P26" s="44"/>
    </row>
    <row r="27" spans="2:16" ht="15.75" customHeight="1">
      <c r="B27" s="326"/>
      <c r="C27" s="326"/>
      <c r="D27" s="45"/>
      <c r="E27" s="48" t="s">
        <v>287</v>
      </c>
      <c r="F27" s="45"/>
      <c r="G27" s="48" t="s">
        <v>11</v>
      </c>
      <c r="H27" s="46"/>
      <c r="I27" s="48" t="s">
        <v>11</v>
      </c>
      <c r="J27" s="45"/>
      <c r="K27" s="108"/>
      <c r="L27" s="25"/>
      <c r="M27" s="44"/>
      <c r="N27" s="44"/>
      <c r="O27" s="44"/>
      <c r="P27" s="44"/>
    </row>
    <row r="28" spans="2:16" ht="30" customHeight="1">
      <c r="B28" s="326"/>
      <c r="C28" s="326"/>
      <c r="D28" s="45"/>
      <c r="E28" s="207">
        <f>IF(OR(E24="",E26=""),E24+E26,IFERROR(AVERAGE(E24,E26),""))</f>
        <v>0</v>
      </c>
      <c r="F28" s="45"/>
      <c r="G28" s="207">
        <f>IF(OR(G24="",G26=""),G24+G26,IFERROR(AVERAGE(G24,G26),""))</f>
        <v>77625</v>
      </c>
      <c r="H28" s="48"/>
      <c r="I28" s="207">
        <f>IF(OR(I24="",I26="",I24=0,I26=0),I24+I26,IFERROR(AVERAGE(I24,I26),""))</f>
        <v>77625</v>
      </c>
      <c r="J28" s="45"/>
      <c r="K28" s="108"/>
      <c r="L28" s="25"/>
      <c r="M28" s="44"/>
      <c r="N28" s="239"/>
      <c r="O28" s="44"/>
      <c r="P28" s="44"/>
    </row>
    <row r="29" spans="2:16" ht="24" customHeight="1">
      <c r="B29" s="326"/>
      <c r="C29" s="326"/>
      <c r="D29" s="45"/>
      <c r="E29" s="48" t="s">
        <v>288</v>
      </c>
      <c r="F29" s="45"/>
      <c r="G29" s="48" t="s">
        <v>12</v>
      </c>
      <c r="H29" s="48"/>
      <c r="I29" s="48" t="s">
        <v>12</v>
      </c>
      <c r="J29" s="45"/>
      <c r="K29" s="109"/>
      <c r="L29" s="25"/>
      <c r="M29" s="44"/>
      <c r="N29" s="44"/>
      <c r="O29" s="44"/>
      <c r="P29" s="44"/>
    </row>
    <row r="30" spans="2:16" ht="45" customHeight="1">
      <c r="B30" s="45"/>
      <c r="C30" s="45"/>
      <c r="D30" s="45"/>
      <c r="E30" s="48"/>
      <c r="F30" s="45"/>
      <c r="G30" s="48"/>
      <c r="H30" s="48"/>
      <c r="I30" s="48"/>
      <c r="J30" s="25"/>
      <c r="K30" s="110"/>
      <c r="L30" s="25"/>
      <c r="M30" s="44"/>
      <c r="N30" s="44"/>
      <c r="O30" s="44"/>
      <c r="P30" s="44"/>
    </row>
    <row r="31" spans="2:16" ht="25.5" customHeight="1">
      <c r="B31" s="45"/>
      <c r="C31" s="50"/>
      <c r="D31" s="45"/>
      <c r="E31" s="210" t="s">
        <v>285</v>
      </c>
      <c r="F31" s="104" t="s">
        <v>148</v>
      </c>
      <c r="G31" s="69" t="s">
        <v>150</v>
      </c>
      <c r="H31" s="45"/>
      <c r="I31" s="69" t="s">
        <v>149</v>
      </c>
      <c r="J31" s="45"/>
      <c r="K31" s="105" t="s">
        <v>144</v>
      </c>
      <c r="L31" s="25"/>
      <c r="M31" s="44"/>
      <c r="N31" s="44"/>
      <c r="O31" s="44"/>
      <c r="P31" s="44"/>
    </row>
    <row r="32" spans="2:16" ht="30" customHeight="1">
      <c r="B32" s="324" t="s">
        <v>353</v>
      </c>
      <c r="C32" s="324"/>
      <c r="D32" s="45"/>
      <c r="E32" s="209"/>
      <c r="F32" s="45"/>
      <c r="G32" s="73">
        <v>371250</v>
      </c>
      <c r="H32" s="46"/>
      <c r="I32" s="207">
        <f>IF(E32="",G32,E32*VLOOKUP(E31,'1-Description'!$A$54:$K$61,9,0)/VLOOKUP(E31,'1-Description'!$A$54:$K$61,11,0))</f>
        <v>371250</v>
      </c>
      <c r="J32" s="45"/>
      <c r="K32" s="106" t="s">
        <v>337</v>
      </c>
      <c r="L32" s="25"/>
      <c r="M32" s="44"/>
      <c r="N32" s="44"/>
      <c r="O32" s="44"/>
      <c r="P32" s="44"/>
    </row>
    <row r="33" spans="2:16" ht="15.75" customHeight="1">
      <c r="B33" s="327" t="s">
        <v>356</v>
      </c>
      <c r="C33" s="326"/>
      <c r="D33" s="45"/>
      <c r="E33" s="205" t="s">
        <v>286</v>
      </c>
      <c r="F33" s="45"/>
      <c r="G33" s="205" t="s">
        <v>10</v>
      </c>
      <c r="H33" s="205"/>
      <c r="I33" s="208" t="s">
        <v>10</v>
      </c>
      <c r="J33" s="107"/>
      <c r="K33" s="98"/>
      <c r="L33" s="25"/>
      <c r="M33" s="44"/>
      <c r="N33" s="44"/>
      <c r="O33" s="44"/>
      <c r="P33" s="44"/>
    </row>
    <row r="34" spans="2:16" ht="30" customHeight="1">
      <c r="B34" s="326"/>
      <c r="C34" s="326"/>
      <c r="D34" s="25"/>
      <c r="E34" s="209"/>
      <c r="F34" s="25"/>
      <c r="G34" s="73">
        <v>556875</v>
      </c>
      <c r="H34" s="25"/>
      <c r="I34" s="207">
        <f>IF(E34="",G34,E34*VLOOKUP(E31,'1-Description'!$A$54:$K$61,9,0)/VLOOKUP(E31,'1-Description'!$A$54:$K$61,11,0))</f>
        <v>556875</v>
      </c>
      <c r="J34" s="25"/>
      <c r="K34" s="106" t="s">
        <v>337</v>
      </c>
      <c r="L34" s="25"/>
      <c r="M34" s="44"/>
      <c r="N34" s="44"/>
      <c r="O34" s="44"/>
      <c r="P34" s="44"/>
    </row>
    <row r="35" spans="2:16" ht="15.75" customHeight="1">
      <c r="B35" s="326"/>
      <c r="C35" s="326"/>
      <c r="D35" s="45"/>
      <c r="E35" s="205" t="s">
        <v>287</v>
      </c>
      <c r="F35" s="45"/>
      <c r="G35" s="48" t="s">
        <v>11</v>
      </c>
      <c r="H35" s="46"/>
      <c r="I35" s="208" t="s">
        <v>11</v>
      </c>
      <c r="J35" s="45"/>
      <c r="K35" s="108"/>
      <c r="L35" s="25"/>
      <c r="M35" s="44"/>
      <c r="N35" s="44"/>
      <c r="O35" s="44"/>
      <c r="P35" s="44"/>
    </row>
    <row r="36" spans="2:16" ht="30" customHeight="1">
      <c r="B36" s="326"/>
      <c r="C36" s="326"/>
      <c r="D36" s="45"/>
      <c r="E36" s="207">
        <f>IF(OR(E32="",E34=""),E32+E34,IFERROR(AVERAGE(E32,E34),""))</f>
        <v>0</v>
      </c>
      <c r="F36" s="45"/>
      <c r="G36" s="207">
        <f>IF(OR(G32="",G34=""),G32+G34,IFERROR(AVERAGE(G32,G34),""))</f>
        <v>464062.5</v>
      </c>
      <c r="H36" s="204"/>
      <c r="I36" s="207">
        <f>IF(OR(I32="",I34="",I32=0,I34=0),I32+I34,IFERROR(AVERAGE(I32,I34),""))</f>
        <v>464062.5</v>
      </c>
      <c r="J36" s="45"/>
      <c r="K36" s="108"/>
      <c r="L36" s="25"/>
      <c r="M36" s="44"/>
      <c r="N36" s="44"/>
      <c r="O36" s="44"/>
      <c r="P36" s="44"/>
    </row>
    <row r="37" spans="2:16" ht="39" customHeight="1">
      <c r="B37" s="326"/>
      <c r="C37" s="326"/>
      <c r="D37" s="45"/>
      <c r="E37" s="205" t="s">
        <v>288</v>
      </c>
      <c r="F37" s="45"/>
      <c r="G37" s="48" t="s">
        <v>12</v>
      </c>
      <c r="H37" s="48"/>
      <c r="I37" s="208" t="s">
        <v>12</v>
      </c>
      <c r="J37" s="45"/>
      <c r="K37" s="109"/>
      <c r="L37" s="25"/>
      <c r="M37" s="44"/>
      <c r="N37" s="44"/>
      <c r="O37" s="44"/>
      <c r="P37" s="44"/>
    </row>
    <row r="38" spans="2:16" ht="45" customHeight="1">
      <c r="B38" s="45"/>
      <c r="C38" s="45"/>
      <c r="D38" s="45"/>
      <c r="E38" s="48"/>
      <c r="F38" s="45"/>
      <c r="G38" s="48"/>
      <c r="H38" s="48"/>
      <c r="I38" s="48"/>
      <c r="J38" s="25"/>
      <c r="K38" s="110"/>
      <c r="L38" s="25"/>
      <c r="M38" s="44"/>
      <c r="N38" s="44"/>
      <c r="O38" s="44"/>
      <c r="P38" s="44"/>
    </row>
    <row r="39" spans="2:16" ht="25.5" customHeight="1">
      <c r="B39" s="45"/>
      <c r="C39" s="50"/>
      <c r="D39" s="45"/>
      <c r="E39" s="210" t="s">
        <v>289</v>
      </c>
      <c r="F39" s="104" t="s">
        <v>148</v>
      </c>
      <c r="G39" s="69" t="s">
        <v>150</v>
      </c>
      <c r="H39" s="45"/>
      <c r="I39" s="69" t="s">
        <v>149</v>
      </c>
      <c r="J39" s="45"/>
      <c r="K39" s="105" t="s">
        <v>144</v>
      </c>
      <c r="L39" s="25"/>
      <c r="M39" s="44"/>
      <c r="N39" s="44"/>
      <c r="O39" s="44"/>
      <c r="P39" s="44"/>
    </row>
    <row r="40" spans="2:16" ht="30" customHeight="1">
      <c r="B40" s="324" t="s">
        <v>355</v>
      </c>
      <c r="C40" s="324"/>
      <c r="D40" s="45"/>
      <c r="E40" s="209"/>
      <c r="F40" s="45"/>
      <c r="G40" s="73"/>
      <c r="H40" s="46"/>
      <c r="I40" s="207">
        <f>IF(E40="",G40,E40*VLOOKUP(E39,'1-Description'!$A$54:$K$61,9,0)/VLOOKUP(E39,'1-Description'!$A$54:$K$61,11,0))</f>
        <v>0</v>
      </c>
      <c r="J40" s="45"/>
      <c r="K40" s="106" t="s">
        <v>337</v>
      </c>
      <c r="L40" s="25"/>
      <c r="M40" s="44"/>
      <c r="N40" s="44"/>
      <c r="O40" s="44"/>
      <c r="P40" s="44"/>
    </row>
    <row r="41" spans="2:16" ht="15.75" customHeight="1">
      <c r="B41" s="327" t="s">
        <v>357</v>
      </c>
      <c r="C41" s="326"/>
      <c r="D41" s="45"/>
      <c r="E41" s="205" t="s">
        <v>286</v>
      </c>
      <c r="F41" s="45"/>
      <c r="G41" s="205" t="s">
        <v>10</v>
      </c>
      <c r="H41" s="205"/>
      <c r="I41" s="208" t="s">
        <v>10</v>
      </c>
      <c r="J41" s="107"/>
      <c r="K41" s="98"/>
      <c r="L41" s="25"/>
      <c r="M41" s="44"/>
      <c r="N41" s="44"/>
      <c r="O41" s="44"/>
      <c r="P41" s="44"/>
    </row>
    <row r="42" spans="2:16" ht="30" customHeight="1">
      <c r="B42" s="326"/>
      <c r="C42" s="326"/>
      <c r="D42" s="25"/>
      <c r="E42" s="209"/>
      <c r="F42" s="25"/>
      <c r="G42" s="73"/>
      <c r="H42" s="25"/>
      <c r="I42" s="207">
        <f>IF(E42="",G42,E42*VLOOKUP(E39,'1-Description'!$A$54:$K$61,9,0)/VLOOKUP(E39,'1-Description'!$A$54:$K$61,11,0))</f>
        <v>0</v>
      </c>
      <c r="J42" s="25"/>
      <c r="K42" s="106" t="s">
        <v>337</v>
      </c>
      <c r="L42" s="25"/>
      <c r="M42" s="44"/>
      <c r="N42" s="44"/>
      <c r="O42" s="44"/>
      <c r="P42" s="44"/>
    </row>
    <row r="43" spans="2:16" ht="15.75" customHeight="1">
      <c r="B43" s="326"/>
      <c r="C43" s="326"/>
      <c r="D43" s="45"/>
      <c r="E43" s="205" t="s">
        <v>287</v>
      </c>
      <c r="F43" s="45"/>
      <c r="G43" s="48" t="s">
        <v>11</v>
      </c>
      <c r="H43" s="46"/>
      <c r="I43" s="208" t="s">
        <v>11</v>
      </c>
      <c r="J43" s="45"/>
      <c r="K43" s="108"/>
      <c r="L43" s="25"/>
      <c r="M43" s="44"/>
      <c r="N43" s="44"/>
      <c r="O43" s="44"/>
      <c r="P43" s="44"/>
    </row>
    <row r="44" spans="2:16" ht="30" customHeight="1">
      <c r="B44" s="326"/>
      <c r="C44" s="326"/>
      <c r="D44" s="45"/>
      <c r="E44" s="207">
        <f>IF(OR(E40="",E42=""),E40+E42,IFERROR(AVERAGE(E40,E42),""))</f>
        <v>0</v>
      </c>
      <c r="F44" s="45"/>
      <c r="G44" s="207">
        <f>IF(OR(G40="",G42=""),G40+G42,IFERROR(AVERAGE(G40,G42),""))</f>
        <v>0</v>
      </c>
      <c r="H44" s="204"/>
      <c r="I44" s="207">
        <f>IF(OR(I40="",I42="",I40=0,I42=0),I40+I42,IFERROR(AVERAGE(I40,I42),""))</f>
        <v>0</v>
      </c>
      <c r="J44" s="45"/>
      <c r="K44" s="108"/>
      <c r="L44" s="25"/>
      <c r="M44" s="44"/>
      <c r="N44" s="44"/>
      <c r="O44" s="44"/>
      <c r="P44" s="44"/>
    </row>
    <row r="45" spans="2:16" ht="56.15" customHeight="1">
      <c r="B45" s="326"/>
      <c r="C45" s="326"/>
      <c r="D45" s="45"/>
      <c r="E45" s="205" t="s">
        <v>288</v>
      </c>
      <c r="F45" s="45"/>
      <c r="G45" s="48" t="s">
        <v>12</v>
      </c>
      <c r="H45" s="48"/>
      <c r="I45" s="208" t="s">
        <v>12</v>
      </c>
      <c r="J45" s="45"/>
      <c r="K45" s="109"/>
      <c r="L45" s="25"/>
      <c r="M45" s="44"/>
      <c r="N45" s="44"/>
      <c r="O45" s="44"/>
      <c r="P45" s="44"/>
    </row>
    <row r="46" spans="2:16" ht="45" customHeight="1">
      <c r="B46" s="45"/>
      <c r="C46" s="45"/>
      <c r="D46" s="45"/>
      <c r="E46" s="48"/>
      <c r="F46" s="45"/>
      <c r="G46" s="48"/>
      <c r="H46" s="48"/>
      <c r="I46" s="48"/>
      <c r="J46" s="25"/>
      <c r="K46" s="110"/>
      <c r="L46" s="25"/>
      <c r="M46" s="44"/>
      <c r="N46" s="44"/>
      <c r="O46" s="44"/>
      <c r="P46" s="44"/>
    </row>
    <row r="47" spans="2:16" ht="25.5" customHeight="1">
      <c r="B47" s="45"/>
      <c r="C47" s="50"/>
      <c r="D47" s="45"/>
      <c r="E47" s="210" t="s">
        <v>284</v>
      </c>
      <c r="F47" s="104" t="s">
        <v>148</v>
      </c>
      <c r="G47" s="69" t="s">
        <v>150</v>
      </c>
      <c r="H47" s="45"/>
      <c r="I47" s="69" t="s">
        <v>149</v>
      </c>
      <c r="J47" s="45"/>
      <c r="K47" s="105" t="s">
        <v>144</v>
      </c>
      <c r="L47" s="25"/>
      <c r="M47" s="44"/>
      <c r="N47" s="44"/>
      <c r="O47" s="44"/>
      <c r="P47" s="44"/>
    </row>
    <row r="48" spans="2:16" ht="30" customHeight="1">
      <c r="B48" s="324" t="s">
        <v>279</v>
      </c>
      <c r="C48" s="324"/>
      <c r="D48" s="45"/>
      <c r="E48" s="209"/>
      <c r="F48" s="45"/>
      <c r="G48" s="73"/>
      <c r="H48" s="46"/>
      <c r="I48" s="207">
        <f>IF(E48="",G48,E48*VLOOKUP(E47,'1-Description'!$A$54:$K$61,9,0)/VLOOKUP(E47,'1-Description'!$A$54:$K$61,11,0))</f>
        <v>0</v>
      </c>
      <c r="J48" s="45"/>
      <c r="K48" s="106" t="s">
        <v>337</v>
      </c>
      <c r="L48" s="25"/>
      <c r="M48" s="44"/>
      <c r="N48" s="44"/>
      <c r="O48" s="44"/>
      <c r="P48" s="44"/>
    </row>
    <row r="49" spans="2:16" ht="15.75" customHeight="1">
      <c r="B49" s="327" t="s">
        <v>358</v>
      </c>
      <c r="C49" s="326"/>
      <c r="D49" s="45"/>
      <c r="E49" s="205" t="s">
        <v>286</v>
      </c>
      <c r="F49" s="45"/>
      <c r="G49" s="205" t="s">
        <v>10</v>
      </c>
      <c r="H49" s="205"/>
      <c r="I49" s="208" t="s">
        <v>10</v>
      </c>
      <c r="J49" s="107"/>
      <c r="K49" s="98"/>
      <c r="L49" s="25"/>
      <c r="M49" s="44"/>
      <c r="N49" s="44"/>
      <c r="O49" s="44"/>
      <c r="P49" s="44"/>
    </row>
    <row r="50" spans="2:16" ht="30" customHeight="1">
      <c r="B50" s="326"/>
      <c r="C50" s="326"/>
      <c r="D50" s="25"/>
      <c r="E50" s="209"/>
      <c r="F50" s="25"/>
      <c r="G50" s="73"/>
      <c r="H50" s="25"/>
      <c r="I50" s="207">
        <f>IF(E50="",G50,E50*VLOOKUP(E47,'1-Description'!$A$54:$K$61,9,0)/VLOOKUP(E47,'1-Description'!$A$54:$K$61,11,0))</f>
        <v>0</v>
      </c>
      <c r="J50" s="25"/>
      <c r="K50" s="106" t="s">
        <v>337</v>
      </c>
      <c r="L50" s="25"/>
      <c r="M50" s="44"/>
      <c r="N50" s="44"/>
      <c r="O50" s="44"/>
      <c r="P50" s="44"/>
    </row>
    <row r="51" spans="2:16" ht="15.75" customHeight="1">
      <c r="B51" s="326"/>
      <c r="C51" s="326"/>
      <c r="D51" s="45"/>
      <c r="E51" s="205" t="s">
        <v>287</v>
      </c>
      <c r="F51" s="45"/>
      <c r="G51" s="48" t="s">
        <v>11</v>
      </c>
      <c r="H51" s="46"/>
      <c r="I51" s="208" t="s">
        <v>11</v>
      </c>
      <c r="J51" s="45"/>
      <c r="K51" s="108"/>
      <c r="L51" s="25"/>
      <c r="M51" s="44"/>
      <c r="N51" s="44"/>
      <c r="O51" s="44"/>
      <c r="P51" s="44"/>
    </row>
    <row r="52" spans="2:16" ht="30" customHeight="1">
      <c r="B52" s="326"/>
      <c r="C52" s="326"/>
      <c r="D52" s="45"/>
      <c r="E52" s="207">
        <f>IF(OR(E48="",E50=""),E48+E50,IFERROR(AVERAGE(E48,E50),""))</f>
        <v>0</v>
      </c>
      <c r="F52" s="45"/>
      <c r="G52" s="207">
        <f>IF(OR(G48="",G50=""),G48+G50,IFERROR(AVERAGE(G48,G50),""))</f>
        <v>0</v>
      </c>
      <c r="H52" s="204"/>
      <c r="I52" s="207">
        <f>IF(OR(I48="",I50="",I48=0,I50=0),I48+I50,IFERROR(AVERAGE(I48,I50),""))</f>
        <v>0</v>
      </c>
      <c r="J52" s="45"/>
      <c r="K52" s="108"/>
      <c r="L52" s="25"/>
      <c r="M52" s="44"/>
      <c r="N52" s="44"/>
      <c r="O52" s="44"/>
      <c r="P52" s="44"/>
    </row>
    <row r="53" spans="2:16" ht="49.5" customHeight="1">
      <c r="B53" s="326"/>
      <c r="C53" s="326"/>
      <c r="D53" s="45"/>
      <c r="E53" s="205" t="s">
        <v>288</v>
      </c>
      <c r="F53" s="45"/>
      <c r="G53" s="48" t="s">
        <v>12</v>
      </c>
      <c r="H53" s="48"/>
      <c r="I53" s="208" t="s">
        <v>12</v>
      </c>
      <c r="J53" s="45"/>
      <c r="K53" s="109"/>
      <c r="L53" s="25"/>
      <c r="M53" s="44"/>
      <c r="N53" s="44"/>
      <c r="O53" s="44"/>
      <c r="P53" s="44"/>
    </row>
    <row r="54" spans="2:16" ht="45" customHeight="1">
      <c r="B54" s="111"/>
      <c r="C54" s="111"/>
      <c r="D54" s="45"/>
      <c r="E54" s="48"/>
      <c r="F54" s="45"/>
      <c r="G54" s="48"/>
      <c r="H54" s="48"/>
      <c r="I54" s="48"/>
      <c r="J54" s="45"/>
      <c r="K54" s="109"/>
      <c r="L54" s="25"/>
      <c r="M54" s="44"/>
      <c r="N54" s="44"/>
      <c r="O54" s="44"/>
      <c r="P54" s="44"/>
    </row>
    <row r="55" spans="2:16" ht="25.5" customHeight="1">
      <c r="B55" s="45"/>
      <c r="C55" s="45"/>
      <c r="D55" s="45"/>
      <c r="E55" s="210" t="s">
        <v>284</v>
      </c>
      <c r="F55" s="104" t="s">
        <v>148</v>
      </c>
      <c r="G55" s="69" t="s">
        <v>150</v>
      </c>
      <c r="H55" s="45"/>
      <c r="I55" s="69" t="s">
        <v>149</v>
      </c>
      <c r="J55" s="45"/>
      <c r="K55" s="113" t="s">
        <v>144</v>
      </c>
      <c r="L55" s="25"/>
      <c r="M55" s="44"/>
      <c r="N55" s="44"/>
      <c r="O55" s="44"/>
      <c r="P55" s="44"/>
    </row>
    <row r="56" spans="2:16" ht="30" customHeight="1">
      <c r="B56" s="324" t="s">
        <v>280</v>
      </c>
      <c r="C56" s="324"/>
      <c r="D56" s="45"/>
      <c r="E56" s="209"/>
      <c r="F56" s="45"/>
      <c r="G56" s="73"/>
      <c r="H56" s="46"/>
      <c r="I56" s="207">
        <f>IF(E56="",G56,E56*VLOOKUP(E55,'1-Description'!$A$54:$K$61,9,0)/VLOOKUP(E55,'1-Description'!$A$54:$K$61,11,0))</f>
        <v>0</v>
      </c>
      <c r="J56" s="45"/>
      <c r="K56" s="106" t="s">
        <v>337</v>
      </c>
      <c r="L56" s="25"/>
      <c r="M56" s="44"/>
      <c r="N56" s="44"/>
      <c r="O56" s="44"/>
      <c r="P56" s="44"/>
    </row>
    <row r="57" spans="2:16" ht="15.75" customHeight="1">
      <c r="B57" s="327" t="s">
        <v>361</v>
      </c>
      <c r="C57" s="326"/>
      <c r="D57" s="45"/>
      <c r="E57" s="205" t="s">
        <v>286</v>
      </c>
      <c r="F57" s="45"/>
      <c r="G57" s="205" t="s">
        <v>10</v>
      </c>
      <c r="H57" s="205"/>
      <c r="I57" s="208" t="s">
        <v>10</v>
      </c>
      <c r="J57" s="107"/>
      <c r="K57" s="98"/>
      <c r="L57" s="25"/>
      <c r="M57" s="44"/>
      <c r="N57" s="44"/>
      <c r="O57" s="44"/>
      <c r="P57" s="44"/>
    </row>
    <row r="58" spans="2:16" ht="30" customHeight="1">
      <c r="B58" s="326"/>
      <c r="C58" s="326"/>
      <c r="D58" s="25"/>
      <c r="E58" s="209"/>
      <c r="F58" s="25"/>
      <c r="G58" s="73"/>
      <c r="H58" s="25"/>
      <c r="I58" s="207">
        <f>IF(E58="",G58,E58*VLOOKUP(E55,'1-Description'!$A$54:$K$61,9,0)/VLOOKUP(E55,'1-Description'!$A$54:$K$61,11,0))</f>
        <v>0</v>
      </c>
      <c r="J58" s="25"/>
      <c r="K58" s="106" t="s">
        <v>337</v>
      </c>
      <c r="L58" s="25"/>
      <c r="M58" s="44"/>
      <c r="N58" s="44"/>
      <c r="O58" s="44"/>
      <c r="P58" s="44"/>
    </row>
    <row r="59" spans="2:16" ht="15.75" customHeight="1">
      <c r="B59" s="326"/>
      <c r="C59" s="326"/>
      <c r="D59" s="45"/>
      <c r="E59" s="217" t="s">
        <v>315</v>
      </c>
      <c r="F59" s="45"/>
      <c r="G59" s="48" t="s">
        <v>11</v>
      </c>
      <c r="H59" s="46"/>
      <c r="I59" s="208" t="s">
        <v>11</v>
      </c>
      <c r="J59" s="45"/>
      <c r="K59" s="108"/>
      <c r="L59" s="25"/>
      <c r="M59" s="44"/>
      <c r="N59" s="44"/>
      <c r="O59" s="44"/>
      <c r="P59" s="44"/>
    </row>
    <row r="60" spans="2:16" ht="30" customHeight="1">
      <c r="B60" s="326"/>
      <c r="C60" s="326"/>
      <c r="D60" s="45"/>
      <c r="E60" s="207">
        <f>IF(OR(E56="",E58=""),E56+E58,IFERROR(AVERAGE(E56,E58),""))</f>
        <v>0</v>
      </c>
      <c r="F60" s="45"/>
      <c r="G60" s="207">
        <f>IF(OR(G56="",G58=""),G56+G58,IFERROR(AVERAGE(G56,G58),""))</f>
        <v>0</v>
      </c>
      <c r="H60" s="204"/>
      <c r="I60" s="207">
        <f>IF(OR(I56="",I58="",I56=0,I58=0),I56+I58,IFERROR(AVERAGE(I56,I58),""))</f>
        <v>0</v>
      </c>
      <c r="J60" s="45"/>
      <c r="K60" s="108"/>
      <c r="L60" s="25"/>
      <c r="M60" s="44"/>
      <c r="N60" s="44"/>
      <c r="O60" s="44"/>
      <c r="P60" s="44"/>
    </row>
    <row r="61" spans="2:16" ht="21.65" customHeight="1">
      <c r="B61" s="326"/>
      <c r="C61" s="326"/>
      <c r="D61" s="45"/>
      <c r="E61" s="205" t="s">
        <v>288</v>
      </c>
      <c r="F61" s="45"/>
      <c r="G61" s="48" t="s">
        <v>12</v>
      </c>
      <c r="H61" s="48"/>
      <c r="I61" s="208" t="s">
        <v>12</v>
      </c>
      <c r="J61" s="45"/>
      <c r="K61" s="109"/>
      <c r="L61" s="25"/>
      <c r="M61" s="44"/>
      <c r="N61" s="44"/>
      <c r="O61" s="44"/>
      <c r="P61" s="44"/>
    </row>
    <row r="62" spans="2:16" ht="45" customHeight="1">
      <c r="B62" s="111"/>
      <c r="C62" s="111"/>
      <c r="D62" s="45"/>
      <c r="E62" s="48"/>
      <c r="F62" s="45"/>
      <c r="G62" s="48"/>
      <c r="H62" s="48"/>
      <c r="I62" s="48"/>
      <c r="J62" s="45"/>
      <c r="K62" s="109"/>
      <c r="L62" s="25"/>
      <c r="M62" s="44"/>
      <c r="N62" s="44"/>
      <c r="O62" s="44"/>
      <c r="P62" s="44"/>
    </row>
    <row r="63" spans="2:16" ht="25.5" customHeight="1">
      <c r="B63" s="45"/>
      <c r="C63" s="45"/>
      <c r="D63" s="45"/>
      <c r="E63" s="112"/>
      <c r="F63" s="104"/>
      <c r="G63" s="104" t="s">
        <v>150</v>
      </c>
      <c r="H63" s="45"/>
      <c r="I63" s="104" t="s">
        <v>149</v>
      </c>
      <c r="J63" s="45"/>
      <c r="K63" s="113" t="s">
        <v>144</v>
      </c>
      <c r="L63" s="25"/>
      <c r="M63" s="44"/>
      <c r="N63" s="44"/>
      <c r="O63" s="44"/>
      <c r="P63" s="44"/>
    </row>
    <row r="64" spans="2:16" ht="30" customHeight="1">
      <c r="B64" s="324" t="s">
        <v>360</v>
      </c>
      <c r="C64" s="324"/>
      <c r="D64" s="45"/>
      <c r="E64" s="114"/>
      <c r="F64" s="45"/>
      <c r="G64" s="73"/>
      <c r="H64" s="46"/>
      <c r="I64" s="207">
        <f>IF(E64="",G64,E64*'1-Description'!$E$59*1.2/12)</f>
        <v>0</v>
      </c>
      <c r="J64" s="45"/>
      <c r="K64" s="106" t="s">
        <v>337</v>
      </c>
      <c r="L64" s="25"/>
      <c r="M64" s="44"/>
      <c r="N64" s="44"/>
      <c r="O64" s="44"/>
      <c r="P64" s="44"/>
    </row>
    <row r="65" spans="2:16" ht="15.75" customHeight="1">
      <c r="B65" s="328" t="s">
        <v>362</v>
      </c>
      <c r="C65" s="329"/>
      <c r="D65" s="45"/>
      <c r="E65" s="48"/>
      <c r="F65" s="45"/>
      <c r="G65" s="48" t="s">
        <v>10</v>
      </c>
      <c r="H65" s="48"/>
      <c r="I65" s="48" t="s">
        <v>10</v>
      </c>
      <c r="J65" s="107"/>
      <c r="K65" s="98"/>
      <c r="L65" s="25"/>
      <c r="M65" s="44"/>
      <c r="N65" s="44"/>
      <c r="O65" s="44"/>
      <c r="P65" s="44"/>
    </row>
    <row r="66" spans="2:16" ht="30" customHeight="1">
      <c r="B66" s="329"/>
      <c r="C66" s="329"/>
      <c r="D66" s="25"/>
      <c r="E66" s="114"/>
      <c r="F66" s="25"/>
      <c r="G66" s="73"/>
      <c r="H66" s="25"/>
      <c r="I66" s="207">
        <f>IF(E66="",G66,E66*'1-Description'!$E$59*1.2/12)</f>
        <v>0</v>
      </c>
      <c r="J66" s="25"/>
      <c r="K66" s="106" t="s">
        <v>337</v>
      </c>
      <c r="L66" s="25"/>
      <c r="M66" s="44"/>
      <c r="N66" s="44"/>
      <c r="O66" s="44"/>
      <c r="P66" s="44"/>
    </row>
    <row r="67" spans="2:16" ht="15.75" customHeight="1">
      <c r="B67" s="329"/>
      <c r="C67" s="329"/>
      <c r="D67" s="45"/>
      <c r="E67" s="48"/>
      <c r="F67" s="45"/>
      <c r="G67" s="48" t="s">
        <v>11</v>
      </c>
      <c r="H67" s="46"/>
      <c r="I67" s="48" t="s">
        <v>11</v>
      </c>
      <c r="J67" s="45"/>
      <c r="K67" s="108"/>
      <c r="L67" s="25"/>
      <c r="M67" s="44"/>
      <c r="N67" s="44"/>
      <c r="O67" s="44"/>
      <c r="P67" s="44"/>
    </row>
    <row r="68" spans="2:16" ht="16.5" customHeight="1">
      <c r="B68" s="329"/>
      <c r="C68" s="329"/>
      <c r="D68" s="45"/>
      <c r="E68" s="115"/>
      <c r="F68" s="45"/>
      <c r="G68" s="207">
        <f>IF(OR(G64="",G66=""),G64+G66,IFERROR(AVERAGE(G64,G66),""))</f>
        <v>0</v>
      </c>
      <c r="H68" s="48"/>
      <c r="I68" s="207">
        <f>IF(OR(I64="",I66="",I64=0,I66=0),I64+I66,IFERROR(AVERAGE(I64,I66),""))</f>
        <v>0</v>
      </c>
      <c r="J68" s="45"/>
      <c r="K68" s="108"/>
      <c r="L68" s="25"/>
      <c r="M68" s="44"/>
      <c r="N68" s="44"/>
      <c r="O68" s="44"/>
      <c r="P68" s="44"/>
    </row>
    <row r="69" spans="2:16" ht="21" customHeight="1">
      <c r="B69" s="329"/>
      <c r="C69" s="329"/>
      <c r="D69" s="45"/>
      <c r="E69" s="48"/>
      <c r="F69" s="45"/>
      <c r="G69" s="48" t="s">
        <v>12</v>
      </c>
      <c r="H69" s="48"/>
      <c r="I69" s="48" t="s">
        <v>12</v>
      </c>
      <c r="J69" s="45"/>
      <c r="K69" s="109"/>
      <c r="L69" s="25"/>
      <c r="M69" s="44"/>
      <c r="N69" s="44"/>
      <c r="O69" s="44"/>
      <c r="P69" s="44"/>
    </row>
    <row r="70" spans="2:16" ht="45" customHeight="1">
      <c r="B70" s="330"/>
      <c r="C70" s="330"/>
      <c r="D70" s="45"/>
      <c r="E70" s="48"/>
      <c r="F70" s="45"/>
      <c r="G70" s="48"/>
      <c r="H70" s="48"/>
      <c r="I70" s="48"/>
      <c r="J70" s="25"/>
      <c r="K70" s="110"/>
      <c r="L70" s="25"/>
      <c r="M70" s="44"/>
      <c r="N70" s="44"/>
      <c r="O70" s="44"/>
      <c r="P70" s="44"/>
    </row>
    <row r="71" spans="2:16" ht="25.5" customHeight="1">
      <c r="B71" s="45"/>
      <c r="C71" s="45"/>
      <c r="D71" s="45"/>
      <c r="E71" s="112"/>
      <c r="F71" s="104"/>
      <c r="G71" s="104" t="s">
        <v>150</v>
      </c>
      <c r="H71" s="45"/>
      <c r="I71" s="104" t="s">
        <v>149</v>
      </c>
      <c r="J71" s="45"/>
      <c r="K71" s="113" t="s">
        <v>144</v>
      </c>
      <c r="L71" s="25"/>
      <c r="M71" s="44"/>
      <c r="N71" s="44"/>
      <c r="O71" s="44"/>
      <c r="P71" s="44"/>
    </row>
    <row r="72" spans="2:16" ht="30" customHeight="1">
      <c r="B72" s="324" t="s">
        <v>281</v>
      </c>
      <c r="C72" s="324"/>
      <c r="D72" s="45"/>
      <c r="E72" s="114"/>
      <c r="F72" s="45"/>
      <c r="G72" s="73">
        <v>143750</v>
      </c>
      <c r="H72" s="46"/>
      <c r="I72" s="207">
        <f>IF(E72="",G72,E72*'1-Description'!$E$59*1.2/12)</f>
        <v>143750</v>
      </c>
      <c r="J72" s="45"/>
      <c r="K72" s="106" t="s">
        <v>337</v>
      </c>
      <c r="L72" s="25"/>
      <c r="M72" s="44"/>
      <c r="N72" s="44"/>
      <c r="O72" s="44"/>
      <c r="P72" s="44"/>
    </row>
    <row r="73" spans="2:16" ht="15.75" customHeight="1">
      <c r="B73" s="325" t="s">
        <v>359</v>
      </c>
      <c r="C73" s="326"/>
      <c r="D73" s="45"/>
      <c r="E73" s="48"/>
      <c r="F73" s="45"/>
      <c r="G73" s="48" t="s">
        <v>10</v>
      </c>
      <c r="H73" s="48"/>
      <c r="I73" s="48" t="s">
        <v>10</v>
      </c>
      <c r="J73" s="107"/>
      <c r="K73" s="98"/>
      <c r="L73" s="25"/>
      <c r="M73" s="44"/>
      <c r="N73" s="44"/>
      <c r="O73" s="44"/>
      <c r="P73" s="44"/>
    </row>
    <row r="74" spans="2:16" ht="30" customHeight="1">
      <c r="B74" s="326"/>
      <c r="C74" s="326"/>
      <c r="D74" s="25"/>
      <c r="E74" s="114"/>
      <c r="F74" s="25"/>
      <c r="G74" s="73">
        <v>215625</v>
      </c>
      <c r="H74" s="25"/>
      <c r="I74" s="207">
        <f>IF(E74="",G74,E74*'1-Description'!$E$59*1.2/12)</f>
        <v>215625</v>
      </c>
      <c r="J74" s="25"/>
      <c r="K74" s="106" t="s">
        <v>337</v>
      </c>
      <c r="L74" s="25"/>
      <c r="M74" s="44"/>
      <c r="N74" s="44"/>
      <c r="O74" s="44"/>
      <c r="P74" s="44"/>
    </row>
    <row r="75" spans="2:16" ht="15.75" customHeight="1">
      <c r="B75" s="326"/>
      <c r="C75" s="326"/>
      <c r="D75" s="45"/>
      <c r="E75" s="48"/>
      <c r="F75" s="45"/>
      <c r="G75" s="48" t="s">
        <v>11</v>
      </c>
      <c r="H75" s="46"/>
      <c r="I75" s="48" t="s">
        <v>11</v>
      </c>
      <c r="J75" s="45"/>
      <c r="K75" s="108"/>
      <c r="L75" s="25"/>
      <c r="M75" s="44"/>
      <c r="N75" s="44"/>
      <c r="O75" s="44"/>
      <c r="P75" s="44"/>
    </row>
    <row r="76" spans="2:16" ht="30" customHeight="1">
      <c r="B76" s="326"/>
      <c r="C76" s="326"/>
      <c r="D76" s="45"/>
      <c r="E76" s="115"/>
      <c r="F76" s="45"/>
      <c r="G76" s="207">
        <f>IF(OR(G72="",G74=""),G72+G74,IFERROR(AVERAGE(G72,G74),""))</f>
        <v>179687.5</v>
      </c>
      <c r="H76" s="204"/>
      <c r="I76" s="207">
        <f>IF(OR(I72="",I74="",I72=0,I74=0),I72+I74,IFERROR(AVERAGE(I72,I74),""))</f>
        <v>179687.5</v>
      </c>
      <c r="J76" s="45"/>
      <c r="K76" s="108"/>
      <c r="L76" s="25"/>
      <c r="M76" s="44"/>
      <c r="N76" s="44"/>
      <c r="O76" s="44"/>
      <c r="P76" s="44"/>
    </row>
    <row r="77" spans="2:16" ht="15.75" customHeight="1">
      <c r="B77" s="326"/>
      <c r="C77" s="326"/>
      <c r="D77" s="45"/>
      <c r="E77" s="48"/>
      <c r="F77" s="45"/>
      <c r="G77" s="48" t="s">
        <v>12</v>
      </c>
      <c r="H77" s="48"/>
      <c r="I77" s="48" t="s">
        <v>12</v>
      </c>
      <c r="J77" s="45"/>
      <c r="K77" s="109"/>
      <c r="L77" s="25"/>
      <c r="M77" s="44"/>
      <c r="N77" s="44"/>
      <c r="O77" s="44"/>
      <c r="P77" s="44"/>
    </row>
    <row r="78" spans="2:16" ht="45" customHeight="1">
      <c r="B78" s="45"/>
      <c r="C78" s="45"/>
      <c r="D78" s="45"/>
      <c r="E78" s="48"/>
      <c r="F78" s="45"/>
      <c r="G78" s="48"/>
      <c r="H78" s="48"/>
      <c r="I78" s="48"/>
      <c r="J78" s="25"/>
      <c r="K78" s="110"/>
      <c r="L78" s="25"/>
      <c r="M78" s="44"/>
      <c r="N78" s="44"/>
      <c r="O78" s="44"/>
      <c r="P78" s="44"/>
    </row>
    <row r="79" spans="2:16" ht="20">
      <c r="B79" s="63" t="s">
        <v>400</v>
      </c>
      <c r="C79" s="45"/>
      <c r="D79" s="45"/>
      <c r="E79" s="48"/>
      <c r="F79" s="45"/>
      <c r="G79" s="48"/>
      <c r="H79" s="48"/>
      <c r="I79" s="48"/>
      <c r="J79" s="25"/>
      <c r="K79" s="110"/>
      <c r="L79" s="25"/>
      <c r="M79" s="44"/>
      <c r="N79" s="44"/>
      <c r="O79" s="44"/>
      <c r="P79" s="44"/>
    </row>
    <row r="80" spans="2:16" ht="15.5">
      <c r="B80" s="45"/>
      <c r="C80" s="45"/>
      <c r="D80" s="45"/>
      <c r="E80" s="48"/>
      <c r="F80" s="45"/>
      <c r="G80" s="48"/>
      <c r="H80" s="48"/>
      <c r="I80" s="48"/>
      <c r="J80" s="25"/>
      <c r="K80" s="55"/>
      <c r="L80" s="25"/>
      <c r="M80" s="44"/>
      <c r="N80" s="44"/>
      <c r="O80" s="44"/>
      <c r="P80" s="44"/>
    </row>
    <row r="81" spans="2:16" ht="25.5" customHeight="1">
      <c r="B81" s="45"/>
      <c r="C81" s="50"/>
      <c r="D81" s="45"/>
      <c r="E81" s="210" t="s">
        <v>284</v>
      </c>
      <c r="F81" s="104" t="s">
        <v>148</v>
      </c>
      <c r="G81" s="69" t="s">
        <v>150</v>
      </c>
      <c r="H81" s="45"/>
      <c r="I81" s="69" t="s">
        <v>149</v>
      </c>
      <c r="J81" s="45"/>
      <c r="K81" s="105" t="s">
        <v>144</v>
      </c>
      <c r="L81" s="25"/>
      <c r="M81" s="44"/>
      <c r="N81" s="44"/>
      <c r="O81" s="44"/>
      <c r="P81" s="44"/>
    </row>
    <row r="82" spans="2:16" ht="30" customHeight="1">
      <c r="B82" s="324" t="s">
        <v>363</v>
      </c>
      <c r="C82" s="324"/>
      <c r="D82" s="45"/>
      <c r="E82" s="209"/>
      <c r="F82" s="45"/>
      <c r="G82" s="73">
        <v>742500</v>
      </c>
      <c r="H82" s="46"/>
      <c r="I82" s="207">
        <f>IF(E82="",G82,E82*VLOOKUP(E81,'1-Description'!$A$54:$K$61,9,0)/VLOOKUP(E81,'1-Description'!$A$54:$K$61,11,0))</f>
        <v>742500</v>
      </c>
      <c r="J82" s="45"/>
      <c r="K82" s="106" t="s">
        <v>337</v>
      </c>
      <c r="L82" s="25"/>
      <c r="M82" s="44"/>
      <c r="N82" s="44"/>
      <c r="O82" s="44"/>
      <c r="P82" s="44"/>
    </row>
    <row r="83" spans="2:16" ht="15.75" customHeight="1">
      <c r="B83" s="326"/>
      <c r="C83" s="326"/>
      <c r="D83" s="45"/>
      <c r="E83" s="205" t="s">
        <v>286</v>
      </c>
      <c r="F83" s="45"/>
      <c r="G83" s="205" t="s">
        <v>10</v>
      </c>
      <c r="H83" s="205"/>
      <c r="I83" s="208" t="s">
        <v>10</v>
      </c>
      <c r="J83" s="107"/>
      <c r="K83" s="98"/>
      <c r="L83" s="25"/>
      <c r="M83" s="44"/>
      <c r="N83" s="44"/>
      <c r="O83" s="44"/>
      <c r="P83" s="44"/>
    </row>
    <row r="84" spans="2:16" ht="30" customHeight="1">
      <c r="B84" s="326"/>
      <c r="C84" s="326"/>
      <c r="D84" s="25"/>
      <c r="E84" s="209"/>
      <c r="F84" s="25"/>
      <c r="G84" s="73">
        <v>1113750</v>
      </c>
      <c r="H84" s="25"/>
      <c r="I84" s="207">
        <f>IF(E84="",G84,E84*VLOOKUP(E81,'1-Description'!$A$54:$K$61,9,0)/VLOOKUP(E81,'1-Description'!$A$54:$K$61,11,0))</f>
        <v>1113750</v>
      </c>
      <c r="J84" s="25"/>
      <c r="K84" s="106" t="s">
        <v>337</v>
      </c>
      <c r="L84" s="25"/>
      <c r="M84" s="44"/>
      <c r="N84" s="44"/>
      <c r="O84" s="44"/>
      <c r="P84" s="44"/>
    </row>
    <row r="85" spans="2:16" ht="15.75" customHeight="1">
      <c r="B85" s="326"/>
      <c r="C85" s="326"/>
      <c r="D85" s="45"/>
      <c r="E85" s="205" t="s">
        <v>287</v>
      </c>
      <c r="F85" s="45"/>
      <c r="G85" s="48" t="s">
        <v>11</v>
      </c>
      <c r="H85" s="46"/>
      <c r="I85" s="208" t="s">
        <v>11</v>
      </c>
      <c r="J85" s="45"/>
      <c r="K85" s="108"/>
      <c r="L85" s="25"/>
      <c r="M85" s="44"/>
      <c r="N85" s="44"/>
      <c r="O85" s="44"/>
      <c r="P85" s="44"/>
    </row>
    <row r="86" spans="2:16" ht="30" customHeight="1">
      <c r="B86" s="326"/>
      <c r="C86" s="326"/>
      <c r="D86" s="45"/>
      <c r="E86" s="207">
        <f>IF(OR(E82="",E84=""),E82+E84,IFERROR(AVERAGE(E82,E84),""))</f>
        <v>0</v>
      </c>
      <c r="F86" s="45"/>
      <c r="G86" s="207">
        <f>IF(OR(G82="",G84=""),G82+G84,IFERROR(AVERAGE(G82,G84),""))</f>
        <v>928125</v>
      </c>
      <c r="H86" s="204"/>
      <c r="I86" s="207">
        <f>IF(OR(I82="",I84="",I82=0,I84=0),I82+I84,IFERROR(AVERAGE(I82,I84),""))</f>
        <v>928125</v>
      </c>
      <c r="J86" s="45"/>
      <c r="K86" s="108"/>
      <c r="L86" s="25"/>
      <c r="M86" s="44"/>
      <c r="N86" s="44"/>
      <c r="O86" s="44"/>
      <c r="P86" s="44"/>
    </row>
    <row r="87" spans="2:16" ht="15.75" customHeight="1">
      <c r="B87" s="326"/>
      <c r="C87" s="326"/>
      <c r="D87" s="45"/>
      <c r="E87" s="205" t="s">
        <v>288</v>
      </c>
      <c r="F87" s="45"/>
      <c r="G87" s="48" t="s">
        <v>12</v>
      </c>
      <c r="H87" s="48"/>
      <c r="I87" s="208" t="s">
        <v>12</v>
      </c>
      <c r="J87" s="45"/>
      <c r="K87" s="109"/>
      <c r="L87" s="25"/>
      <c r="M87" s="44"/>
      <c r="N87" s="44"/>
      <c r="O87" s="44"/>
      <c r="P87" s="44"/>
    </row>
    <row r="88" spans="2:16" ht="45" customHeight="1">
      <c r="B88" s="45"/>
      <c r="C88" s="45"/>
      <c r="D88" s="45"/>
      <c r="E88" s="48"/>
      <c r="F88" s="45"/>
      <c r="G88" s="48"/>
      <c r="H88" s="48"/>
      <c r="I88" s="48"/>
      <c r="J88" s="25"/>
      <c r="K88" s="110"/>
      <c r="L88" s="25"/>
      <c r="M88" s="44"/>
      <c r="N88" s="44"/>
      <c r="O88" s="44"/>
      <c r="P88" s="44"/>
    </row>
    <row r="89" spans="2:16" ht="25.5" customHeight="1">
      <c r="B89" s="45"/>
      <c r="C89" s="50"/>
      <c r="D89" s="45"/>
      <c r="E89" s="210" t="s">
        <v>284</v>
      </c>
      <c r="F89" s="104" t="s">
        <v>148</v>
      </c>
      <c r="G89" s="69" t="s">
        <v>150</v>
      </c>
      <c r="H89" s="45"/>
      <c r="I89" s="69" t="s">
        <v>149</v>
      </c>
      <c r="J89" s="45"/>
      <c r="K89" s="105" t="s">
        <v>144</v>
      </c>
      <c r="L89" s="25"/>
      <c r="M89" s="44"/>
      <c r="N89" s="44"/>
      <c r="O89" s="44"/>
      <c r="P89" s="44"/>
    </row>
    <row r="90" spans="2:16" ht="30" customHeight="1">
      <c r="B90" s="324" t="s">
        <v>364</v>
      </c>
      <c r="C90" s="324"/>
      <c r="D90" s="45"/>
      <c r="E90" s="209"/>
      <c r="F90" s="45"/>
      <c r="G90" s="73"/>
      <c r="H90" s="46"/>
      <c r="I90" s="207">
        <f>IF(E90="",G90,E90*VLOOKUP(E89,'1-Description'!$A$54:$K$61,9,0)/VLOOKUP(E89,'1-Description'!$A$54:$K$61,11,0))</f>
        <v>0</v>
      </c>
      <c r="J90" s="45"/>
      <c r="K90" s="106" t="s">
        <v>337</v>
      </c>
      <c r="L90" s="25"/>
      <c r="M90" s="44"/>
      <c r="N90" s="44"/>
      <c r="O90" s="44"/>
      <c r="P90" s="44"/>
    </row>
    <row r="91" spans="2:16" ht="15.75" customHeight="1">
      <c r="B91" s="326"/>
      <c r="C91" s="326"/>
      <c r="D91" s="45"/>
      <c r="E91" s="205" t="s">
        <v>286</v>
      </c>
      <c r="F91" s="45"/>
      <c r="G91" s="205" t="s">
        <v>10</v>
      </c>
      <c r="H91" s="205"/>
      <c r="I91" s="208" t="s">
        <v>10</v>
      </c>
      <c r="J91" s="107"/>
      <c r="K91" s="98"/>
      <c r="L91" s="25"/>
      <c r="M91" s="44"/>
      <c r="N91" s="44"/>
      <c r="O91" s="44"/>
      <c r="P91" s="44"/>
    </row>
    <row r="92" spans="2:16" ht="30" customHeight="1">
      <c r="B92" s="326"/>
      <c r="C92" s="326"/>
      <c r="D92" s="25"/>
      <c r="E92" s="209"/>
      <c r="F92" s="25"/>
      <c r="G92" s="73"/>
      <c r="H92" s="25"/>
      <c r="I92" s="207">
        <f>IF(E92="",G92,E92*VLOOKUP(E89,'1-Description'!$A$54:$K$61,9,0)/VLOOKUP(E89,'1-Description'!$A$54:$K$61,11,0))</f>
        <v>0</v>
      </c>
      <c r="J92" s="25"/>
      <c r="K92" s="106" t="s">
        <v>337</v>
      </c>
      <c r="L92" s="25"/>
      <c r="M92" s="44"/>
      <c r="N92" s="44"/>
      <c r="O92" s="44"/>
      <c r="P92" s="44"/>
    </row>
    <row r="93" spans="2:16" ht="15.75" customHeight="1">
      <c r="B93" s="326"/>
      <c r="C93" s="326"/>
      <c r="D93" s="45"/>
      <c r="E93" s="205" t="s">
        <v>287</v>
      </c>
      <c r="F93" s="45"/>
      <c r="G93" s="48" t="s">
        <v>11</v>
      </c>
      <c r="H93" s="46"/>
      <c r="I93" s="208" t="s">
        <v>11</v>
      </c>
      <c r="J93" s="45"/>
      <c r="K93" s="108"/>
      <c r="L93" s="25"/>
      <c r="M93" s="44"/>
      <c r="N93" s="44"/>
      <c r="O93" s="44"/>
      <c r="P93" s="44"/>
    </row>
    <row r="94" spans="2:16" ht="30" customHeight="1">
      <c r="B94" s="326"/>
      <c r="C94" s="326"/>
      <c r="D94" s="45"/>
      <c r="E94" s="207">
        <f>IF(OR(E90="",E92=""),E90+E92,IFERROR(AVERAGE(E90,E92),""))</f>
        <v>0</v>
      </c>
      <c r="F94" s="45"/>
      <c r="G94" s="207">
        <f>IF(OR(G90="",G92=""),G90+G92,IFERROR(AVERAGE(G90,G92),""))</f>
        <v>0</v>
      </c>
      <c r="H94" s="204"/>
      <c r="I94" s="207">
        <f>IF(OR(I90="",I92="",I90=0,I92=0),I90+I92,IFERROR(AVERAGE(I90,I92),""))</f>
        <v>0</v>
      </c>
      <c r="J94" s="45"/>
      <c r="K94" s="108"/>
      <c r="L94" s="25"/>
      <c r="M94" s="44"/>
      <c r="N94" s="44"/>
      <c r="O94" s="44"/>
      <c r="P94" s="44"/>
    </row>
    <row r="95" spans="2:16" ht="15.75" customHeight="1">
      <c r="B95" s="326"/>
      <c r="C95" s="326"/>
      <c r="D95" s="45"/>
      <c r="E95" s="205" t="s">
        <v>288</v>
      </c>
      <c r="F95" s="45"/>
      <c r="G95" s="48" t="s">
        <v>12</v>
      </c>
      <c r="H95" s="48"/>
      <c r="I95" s="208" t="s">
        <v>12</v>
      </c>
      <c r="J95" s="45"/>
      <c r="K95" s="109"/>
      <c r="L95" s="25"/>
      <c r="M95" s="44"/>
      <c r="N95" s="44"/>
      <c r="O95" s="44"/>
      <c r="P95" s="44"/>
    </row>
    <row r="96" spans="2:16" ht="45" customHeight="1">
      <c r="B96" s="45"/>
      <c r="C96" s="45"/>
      <c r="D96" s="45"/>
      <c r="E96" s="48"/>
      <c r="F96" s="45"/>
      <c r="G96" s="48"/>
      <c r="H96" s="48"/>
      <c r="I96" s="48"/>
      <c r="J96" s="25"/>
      <c r="K96" s="110"/>
      <c r="L96" s="25"/>
      <c r="M96" s="44"/>
      <c r="N96" s="44"/>
      <c r="O96" s="44"/>
      <c r="P96" s="44"/>
    </row>
    <row r="97" spans="2:16" ht="25.5" customHeight="1">
      <c r="B97" s="45"/>
      <c r="C97" s="50"/>
      <c r="D97" s="45"/>
      <c r="E97" s="210" t="s">
        <v>284</v>
      </c>
      <c r="F97" s="104" t="s">
        <v>148</v>
      </c>
      <c r="G97" s="69" t="s">
        <v>150</v>
      </c>
      <c r="H97" s="45"/>
      <c r="I97" s="69" t="s">
        <v>149</v>
      </c>
      <c r="J97" s="45"/>
      <c r="K97" s="105" t="s">
        <v>144</v>
      </c>
      <c r="L97" s="25"/>
      <c r="M97" s="44"/>
      <c r="N97" s="44"/>
      <c r="O97" s="44"/>
      <c r="P97" s="44"/>
    </row>
    <row r="98" spans="2:16" ht="30" customHeight="1">
      <c r="B98" s="324" t="s">
        <v>365</v>
      </c>
      <c r="C98" s="324"/>
      <c r="D98" s="45"/>
      <c r="E98" s="209"/>
      <c r="F98" s="45"/>
      <c r="G98" s="73">
        <v>36225</v>
      </c>
      <c r="H98" s="46"/>
      <c r="I98" s="207">
        <f>IF(E98="",G98,E98*VLOOKUP(E97,'1-Description'!$A$54:$K$61,9,0)/VLOOKUP(E97,'1-Description'!$A$54:$K$61,11,0))</f>
        <v>36225</v>
      </c>
      <c r="J98" s="45"/>
      <c r="K98" s="106" t="s">
        <v>337</v>
      </c>
      <c r="L98" s="25"/>
      <c r="M98" s="44"/>
      <c r="N98" s="44"/>
      <c r="O98" s="44"/>
      <c r="P98" s="44"/>
    </row>
    <row r="99" spans="2:16" ht="15.75" customHeight="1">
      <c r="B99" s="326"/>
      <c r="C99" s="326"/>
      <c r="D99" s="45"/>
      <c r="E99" s="205" t="s">
        <v>286</v>
      </c>
      <c r="F99" s="45"/>
      <c r="G99" s="205" t="s">
        <v>10</v>
      </c>
      <c r="H99" s="205"/>
      <c r="I99" s="208" t="s">
        <v>10</v>
      </c>
      <c r="J99" s="107"/>
      <c r="K99" s="98"/>
      <c r="L99" s="25"/>
      <c r="M99" s="44"/>
      <c r="N99" s="44"/>
      <c r="O99" s="44"/>
      <c r="P99" s="44"/>
    </row>
    <row r="100" spans="2:16" ht="30" customHeight="1">
      <c r="B100" s="326"/>
      <c r="C100" s="326"/>
      <c r="D100" s="25"/>
      <c r="E100" s="209"/>
      <c r="F100" s="25"/>
      <c r="G100" s="73">
        <v>54338</v>
      </c>
      <c r="H100" s="25"/>
      <c r="I100" s="207">
        <f>IF(E100="",G100,E100*VLOOKUP(E97,'1-Description'!$A$54:$K$61,9,0)/VLOOKUP(E97,'1-Description'!$A$54:$K$61,11,0))</f>
        <v>54338</v>
      </c>
      <c r="J100" s="25"/>
      <c r="K100" s="106" t="s">
        <v>337</v>
      </c>
      <c r="L100" s="25"/>
      <c r="M100" s="44"/>
      <c r="N100" s="44"/>
      <c r="O100" s="44"/>
      <c r="P100" s="44"/>
    </row>
    <row r="101" spans="2:16" ht="15.75" customHeight="1">
      <c r="B101" s="326"/>
      <c r="C101" s="326"/>
      <c r="D101" s="45"/>
      <c r="E101" s="205" t="s">
        <v>287</v>
      </c>
      <c r="F101" s="45"/>
      <c r="G101" s="48" t="s">
        <v>11</v>
      </c>
      <c r="H101" s="46"/>
      <c r="I101" s="208" t="s">
        <v>11</v>
      </c>
      <c r="J101" s="45"/>
      <c r="K101" s="108"/>
      <c r="L101" s="25"/>
      <c r="M101" s="44"/>
      <c r="N101" s="44"/>
      <c r="O101" s="44"/>
      <c r="P101" s="44"/>
    </row>
    <row r="102" spans="2:16" ht="30" customHeight="1">
      <c r="B102" s="326"/>
      <c r="C102" s="326"/>
      <c r="D102" s="45"/>
      <c r="E102" s="207">
        <f>IF(OR(E98="",E100=""),E98+E100,IFERROR(AVERAGE(E98,E100),""))</f>
        <v>0</v>
      </c>
      <c r="F102" s="45"/>
      <c r="G102" s="207">
        <f>IF(OR(G98="",G100=""),G98+G100,IFERROR(AVERAGE(G98,G100),""))</f>
        <v>45281.5</v>
      </c>
      <c r="H102" s="204"/>
      <c r="I102" s="207">
        <f>IF(OR(I98="",I100="",I98=0,I100=0),I98+I100,IFERROR(AVERAGE(I98,I100),""))</f>
        <v>45281.5</v>
      </c>
      <c r="J102" s="45"/>
      <c r="K102" s="108"/>
      <c r="L102" s="25"/>
      <c r="M102" s="44"/>
      <c r="N102" s="44"/>
      <c r="O102" s="44"/>
      <c r="P102" s="44"/>
    </row>
    <row r="103" spans="2:16" ht="15.75" customHeight="1">
      <c r="B103" s="326"/>
      <c r="C103" s="326"/>
      <c r="D103" s="45"/>
      <c r="E103" s="205" t="s">
        <v>288</v>
      </c>
      <c r="F103" s="45"/>
      <c r="G103" s="48" t="s">
        <v>12</v>
      </c>
      <c r="H103" s="48"/>
      <c r="I103" s="208" t="s">
        <v>12</v>
      </c>
      <c r="J103" s="45"/>
      <c r="K103" s="109"/>
      <c r="L103" s="25"/>
      <c r="M103" s="44"/>
      <c r="N103" s="44"/>
      <c r="O103" s="44"/>
      <c r="P103" s="44"/>
    </row>
    <row r="104" spans="2:16" ht="45" customHeight="1">
      <c r="B104" s="45"/>
      <c r="C104" s="45"/>
      <c r="D104" s="45"/>
      <c r="E104" s="48"/>
      <c r="F104" s="45"/>
      <c r="G104" s="48"/>
      <c r="H104" s="48"/>
      <c r="I104" s="48"/>
      <c r="J104" s="25"/>
      <c r="K104" s="110"/>
      <c r="L104" s="25"/>
      <c r="M104" s="44"/>
      <c r="N104" s="44"/>
      <c r="O104" s="44"/>
      <c r="P104" s="44"/>
    </row>
    <row r="105" spans="2:16" ht="25.5" customHeight="1">
      <c r="B105" s="45"/>
      <c r="C105" s="50"/>
      <c r="D105" s="45"/>
      <c r="E105" s="67"/>
      <c r="F105" s="104"/>
      <c r="G105" s="69" t="s">
        <v>150</v>
      </c>
      <c r="H105" s="45"/>
      <c r="I105" s="69" t="s">
        <v>149</v>
      </c>
      <c r="J105" s="45"/>
      <c r="K105" s="105" t="s">
        <v>144</v>
      </c>
      <c r="L105" s="25"/>
      <c r="M105" s="44"/>
      <c r="N105" s="44"/>
      <c r="O105" s="44"/>
      <c r="P105" s="44"/>
    </row>
    <row r="106" spans="2:16" ht="30" customHeight="1">
      <c r="B106" s="324" t="s">
        <v>366</v>
      </c>
      <c r="C106" s="324"/>
      <c r="D106" s="45"/>
      <c r="E106" s="114"/>
      <c r="F106" s="45"/>
      <c r="G106" s="73">
        <v>39819</v>
      </c>
      <c r="H106" s="46"/>
      <c r="I106" s="207">
        <f>IF(E106="",G106,E106*'1-Description'!$E$55*1.2/12)</f>
        <v>39819</v>
      </c>
      <c r="J106" s="45"/>
      <c r="K106" s="106" t="s">
        <v>337</v>
      </c>
      <c r="L106" s="25"/>
      <c r="M106" s="44"/>
      <c r="N106" s="44"/>
      <c r="O106" s="44"/>
      <c r="P106" s="44"/>
    </row>
    <row r="107" spans="2:16" ht="15.75" customHeight="1">
      <c r="B107" s="326"/>
      <c r="C107" s="326"/>
      <c r="D107" s="45"/>
      <c r="E107" s="48"/>
      <c r="F107" s="45"/>
      <c r="G107" s="48" t="s">
        <v>10</v>
      </c>
      <c r="H107" s="48"/>
      <c r="I107" s="48" t="s">
        <v>10</v>
      </c>
      <c r="J107" s="107"/>
      <c r="K107" s="98"/>
      <c r="L107" s="25"/>
      <c r="M107" s="44"/>
      <c r="N107" s="44"/>
      <c r="O107" s="44"/>
      <c r="P107" s="44"/>
    </row>
    <row r="108" spans="2:16" ht="30" customHeight="1">
      <c r="B108" s="326"/>
      <c r="C108" s="326"/>
      <c r="D108" s="25"/>
      <c r="E108" s="114"/>
      <c r="F108" s="25"/>
      <c r="G108" s="73">
        <v>59728</v>
      </c>
      <c r="H108" s="25"/>
      <c r="I108" s="207">
        <f>IF(E108="",G108,E108*'1-Description'!$E$55*1.2/12)</f>
        <v>59728</v>
      </c>
      <c r="J108" s="25"/>
      <c r="K108" s="106" t="s">
        <v>337</v>
      </c>
      <c r="L108" s="25"/>
      <c r="M108" s="44"/>
      <c r="N108" s="44"/>
      <c r="O108" s="44"/>
      <c r="P108" s="44"/>
    </row>
    <row r="109" spans="2:16" ht="15.75" customHeight="1">
      <c r="B109" s="326"/>
      <c r="C109" s="326"/>
      <c r="D109" s="45"/>
      <c r="E109" s="48"/>
      <c r="F109" s="45"/>
      <c r="G109" s="48" t="s">
        <v>11</v>
      </c>
      <c r="H109" s="46"/>
      <c r="I109" s="48" t="s">
        <v>11</v>
      </c>
      <c r="J109" s="45"/>
      <c r="K109" s="108"/>
      <c r="L109" s="25"/>
      <c r="M109" s="44"/>
      <c r="N109" s="44"/>
      <c r="O109" s="44"/>
      <c r="P109" s="44"/>
    </row>
    <row r="110" spans="2:16" ht="30" customHeight="1">
      <c r="B110" s="326"/>
      <c r="C110" s="326"/>
      <c r="D110" s="45"/>
      <c r="E110" s="115"/>
      <c r="F110" s="45"/>
      <c r="G110" s="207">
        <f>IF(OR(G106="",G108=""),G106+G108,IFERROR(AVERAGE(G106,G108),""))</f>
        <v>49773.5</v>
      </c>
      <c r="H110" s="204"/>
      <c r="I110" s="207">
        <f>IF(OR(I106="",I108="",I106=0,I108=0),I106+I108,IFERROR(AVERAGE(I106,I108),""))</f>
        <v>49773.5</v>
      </c>
      <c r="J110" s="45"/>
      <c r="K110" s="108"/>
      <c r="L110" s="25"/>
      <c r="M110" s="44"/>
      <c r="N110" s="44"/>
      <c r="O110" s="44"/>
      <c r="P110" s="44"/>
    </row>
    <row r="111" spans="2:16" ht="15.65" customHeight="1">
      <c r="B111" s="326"/>
      <c r="C111" s="326"/>
      <c r="D111" s="45"/>
      <c r="E111" s="48"/>
      <c r="F111" s="45"/>
      <c r="G111" s="48" t="s">
        <v>12</v>
      </c>
      <c r="H111" s="48"/>
      <c r="I111" s="48" t="s">
        <v>12</v>
      </c>
      <c r="J111" s="45"/>
      <c r="K111" s="109"/>
      <c r="L111" s="25"/>
      <c r="M111" s="44"/>
      <c r="N111" s="44"/>
      <c r="O111" s="44"/>
      <c r="P111" s="44"/>
    </row>
    <row r="112" spans="2:16" ht="45" customHeight="1">
      <c r="B112" s="45"/>
      <c r="C112" s="45"/>
      <c r="D112" s="45"/>
      <c r="E112" s="48"/>
      <c r="F112" s="45"/>
      <c r="G112" s="48"/>
      <c r="H112" s="48"/>
      <c r="I112" s="48"/>
      <c r="J112" s="25"/>
      <c r="K112" s="110"/>
      <c r="L112" s="25"/>
      <c r="M112" s="44"/>
      <c r="N112" s="44"/>
      <c r="O112" s="44"/>
      <c r="P112" s="44"/>
    </row>
    <row r="113" spans="2:22" ht="25.5" customHeight="1">
      <c r="B113" s="45"/>
      <c r="C113" s="45"/>
      <c r="D113" s="45"/>
      <c r="E113" s="48"/>
      <c r="F113" s="45"/>
      <c r="G113" s="69" t="s">
        <v>150</v>
      </c>
      <c r="H113" s="45"/>
      <c r="I113" s="69" t="s">
        <v>149</v>
      </c>
      <c r="J113" s="45"/>
      <c r="K113" s="105" t="s">
        <v>144</v>
      </c>
      <c r="L113" s="25"/>
      <c r="M113" s="44"/>
      <c r="N113" s="44"/>
      <c r="O113" s="44"/>
      <c r="P113" s="44"/>
    </row>
    <row r="114" spans="2:22" ht="30" customHeight="1">
      <c r="B114" s="324" t="s">
        <v>282</v>
      </c>
      <c r="C114" s="324"/>
      <c r="D114" s="45"/>
      <c r="E114" s="114"/>
      <c r="F114" s="45"/>
      <c r="G114" s="73">
        <v>75133</v>
      </c>
      <c r="H114" s="46"/>
      <c r="I114" s="207">
        <f>IF(E114="",G114,E114*'1-Description'!$E$55*1.2/12)</f>
        <v>75133</v>
      </c>
      <c r="J114" s="45"/>
      <c r="K114" s="106" t="s">
        <v>337</v>
      </c>
      <c r="L114" s="25"/>
      <c r="M114" s="44"/>
      <c r="N114" s="44"/>
      <c r="O114" s="44"/>
      <c r="P114" s="44"/>
    </row>
    <row r="115" spans="2:22" ht="15.75" customHeight="1">
      <c r="B115" s="326"/>
      <c r="C115" s="326"/>
      <c r="D115" s="45"/>
      <c r="E115" s="48"/>
      <c r="F115" s="45"/>
      <c r="G115" s="48" t="s">
        <v>10</v>
      </c>
      <c r="H115" s="48"/>
      <c r="I115" s="48" t="s">
        <v>10</v>
      </c>
      <c r="J115" s="107"/>
      <c r="K115" s="98"/>
      <c r="L115" s="25"/>
      <c r="M115" s="44"/>
      <c r="N115" s="44"/>
      <c r="O115" s="44"/>
      <c r="P115" s="44"/>
    </row>
    <row r="116" spans="2:22" ht="30" customHeight="1">
      <c r="B116" s="326"/>
      <c r="C116" s="326"/>
      <c r="D116" s="25"/>
      <c r="E116" s="114"/>
      <c r="F116" s="25"/>
      <c r="G116" s="73">
        <v>112700</v>
      </c>
      <c r="H116" s="25"/>
      <c r="I116" s="207">
        <f>IF(E116="",G116,E116*'1-Description'!$E$55*1.2/12)</f>
        <v>112700</v>
      </c>
      <c r="J116" s="25"/>
      <c r="K116" s="106" t="s">
        <v>337</v>
      </c>
      <c r="L116" s="25"/>
      <c r="M116" s="44"/>
      <c r="N116" s="44"/>
      <c r="O116" s="44"/>
      <c r="P116" s="44"/>
    </row>
    <row r="117" spans="2:22" ht="15.75" customHeight="1">
      <c r="B117" s="326"/>
      <c r="C117" s="326"/>
      <c r="D117" s="45"/>
      <c r="E117" s="48"/>
      <c r="F117" s="45"/>
      <c r="G117" s="48" t="s">
        <v>11</v>
      </c>
      <c r="H117" s="46"/>
      <c r="I117" s="48" t="s">
        <v>11</v>
      </c>
      <c r="J117" s="45"/>
      <c r="K117" s="108"/>
      <c r="L117" s="25"/>
      <c r="M117" s="44"/>
      <c r="N117" s="44"/>
      <c r="O117" s="44"/>
      <c r="P117" s="44"/>
    </row>
    <row r="118" spans="2:22" ht="30" customHeight="1">
      <c r="B118" s="326"/>
      <c r="C118" s="326"/>
      <c r="D118" s="45"/>
      <c r="E118" s="115"/>
      <c r="F118" s="45"/>
      <c r="G118" s="207">
        <f>IF(OR(G114="",G116=""),G114+G116,IFERROR(AVERAGE(G114,G116),""))</f>
        <v>93916.5</v>
      </c>
      <c r="H118" s="204"/>
      <c r="I118" s="207">
        <f>IF(OR(I114="",I116="",I114=0,I116=0),I114+I116,IFERROR(AVERAGE(I114,I116),""))</f>
        <v>93916.5</v>
      </c>
      <c r="J118" s="45"/>
      <c r="K118" s="108"/>
      <c r="L118" s="25"/>
      <c r="M118" s="44"/>
      <c r="N118" s="44"/>
      <c r="O118" s="44"/>
      <c r="P118" s="44"/>
    </row>
    <row r="119" spans="2:22" ht="15.75" customHeight="1">
      <c r="B119" s="326"/>
      <c r="C119" s="326"/>
      <c r="D119" s="45"/>
      <c r="E119" s="48"/>
      <c r="F119" s="45"/>
      <c r="G119" s="48" t="s">
        <v>12</v>
      </c>
      <c r="H119" s="48"/>
      <c r="I119" s="48" t="s">
        <v>12</v>
      </c>
      <c r="J119" s="45"/>
      <c r="K119" s="109"/>
      <c r="L119" s="25"/>
      <c r="M119" s="44"/>
      <c r="N119" s="44"/>
      <c r="O119" s="44"/>
      <c r="P119" s="44"/>
    </row>
    <row r="120" spans="2:22" ht="45" customHeight="1">
      <c r="B120" s="45"/>
      <c r="C120" s="45"/>
      <c r="D120" s="45"/>
      <c r="E120" s="48"/>
      <c r="F120" s="45"/>
      <c r="G120" s="48"/>
      <c r="H120" s="48"/>
      <c r="I120" s="48"/>
      <c r="J120" s="25"/>
      <c r="K120" s="110"/>
      <c r="L120" s="25"/>
      <c r="M120" s="44"/>
      <c r="N120" s="44"/>
      <c r="O120" s="44"/>
      <c r="P120" s="44"/>
    </row>
    <row r="121" spans="2:22" ht="30" customHeight="1">
      <c r="B121" s="25"/>
      <c r="C121" s="25"/>
      <c r="D121" s="25"/>
      <c r="E121" s="24"/>
      <c r="F121" s="25"/>
      <c r="G121" s="25"/>
      <c r="H121" s="25"/>
      <c r="I121" s="25"/>
      <c r="J121" s="25"/>
      <c r="K121" s="24"/>
      <c r="L121" s="25"/>
      <c r="M121" s="44"/>
      <c r="N121" s="44"/>
      <c r="O121" s="44"/>
      <c r="P121" s="44"/>
    </row>
    <row r="122" spans="2:22" ht="15.5">
      <c r="B122" s="25"/>
      <c r="C122" s="25"/>
      <c r="D122" s="25"/>
      <c r="E122" s="25"/>
      <c r="F122" s="25"/>
      <c r="G122" s="25"/>
      <c r="H122" s="25"/>
      <c r="I122" s="25"/>
      <c r="J122" s="25"/>
      <c r="K122" s="25"/>
      <c r="L122" s="25"/>
      <c r="M122" s="44"/>
      <c r="N122" s="44"/>
      <c r="O122" s="44"/>
      <c r="P122" s="44"/>
    </row>
    <row r="123" spans="2:22" ht="30" customHeight="1">
      <c r="B123" s="116"/>
      <c r="C123" s="116"/>
      <c r="D123" s="25"/>
      <c r="E123" s="117"/>
      <c r="F123" s="25"/>
      <c r="G123" s="54"/>
      <c r="H123" s="118"/>
      <c r="I123" s="119"/>
      <c r="J123" s="119"/>
      <c r="K123" s="120"/>
      <c r="L123" s="25"/>
      <c r="M123" s="44"/>
      <c r="N123" s="94"/>
      <c r="O123" s="90"/>
      <c r="P123" s="90"/>
      <c r="Q123" s="35"/>
      <c r="R123" s="35"/>
      <c r="S123" s="35"/>
      <c r="T123" s="35"/>
      <c r="U123" s="35"/>
      <c r="V123" s="35"/>
    </row>
    <row r="124" spans="2:22" ht="15.75" customHeight="1">
      <c r="B124" s="25"/>
      <c r="C124" s="61"/>
      <c r="D124" s="25"/>
      <c r="E124" s="25"/>
      <c r="F124" s="25"/>
      <c r="G124" s="54"/>
      <c r="H124" s="119"/>
      <c r="I124" s="119"/>
      <c r="J124" s="119"/>
      <c r="K124" s="121"/>
      <c r="L124" s="25"/>
      <c r="M124" s="44"/>
      <c r="N124" s="94"/>
      <c r="O124" s="90"/>
      <c r="P124" s="90"/>
      <c r="Q124" s="35"/>
      <c r="R124" s="35"/>
      <c r="S124" s="35"/>
      <c r="T124" s="35"/>
      <c r="U124" s="35"/>
      <c r="V124" s="35"/>
    </row>
    <row r="125" spans="2:22" ht="60" customHeight="1">
      <c r="B125" s="323"/>
      <c r="C125" s="323"/>
      <c r="D125" s="323"/>
      <c r="E125" s="323"/>
      <c r="F125" s="323"/>
      <c r="G125" s="323"/>
      <c r="H125" s="323"/>
      <c r="I125" s="323"/>
      <c r="J125" s="323"/>
      <c r="K125" s="323"/>
      <c r="L125" s="323"/>
      <c r="M125" s="44"/>
      <c r="N125" s="94"/>
      <c r="O125" s="90"/>
      <c r="P125" s="90"/>
      <c r="Q125" s="35"/>
      <c r="R125" s="35"/>
      <c r="S125" s="35"/>
      <c r="T125" s="35"/>
      <c r="U125" s="35"/>
      <c r="V125" s="35"/>
    </row>
    <row r="126" spans="2:22" ht="22.5" hidden="1" customHeight="1">
      <c r="B126" s="321"/>
      <c r="C126" s="321"/>
      <c r="D126" s="122"/>
      <c r="E126" s="322"/>
      <c r="F126" s="322"/>
      <c r="G126" s="322"/>
      <c r="H126" s="322"/>
      <c r="I126" s="322"/>
      <c r="J126" s="123"/>
      <c r="K126" s="124"/>
      <c r="L126" s="125"/>
      <c r="N126" s="28" t="s">
        <v>25</v>
      </c>
      <c r="O126" s="318" t="s">
        <v>27</v>
      </c>
      <c r="P126" s="318"/>
      <c r="Q126" s="318"/>
      <c r="R126" s="318"/>
      <c r="S126" s="318"/>
      <c r="T126" s="318"/>
      <c r="U126" s="318"/>
      <c r="V126" s="318"/>
    </row>
    <row r="127" spans="2:22" ht="87.75" hidden="1" customHeight="1">
      <c r="B127" s="319"/>
      <c r="C127" s="319"/>
      <c r="D127" s="126"/>
      <c r="E127" s="320"/>
      <c r="F127" s="320"/>
      <c r="G127" s="320"/>
      <c r="H127" s="320"/>
      <c r="I127" s="320"/>
      <c r="J127" s="123"/>
      <c r="K127" s="127"/>
      <c r="L127" s="122"/>
      <c r="N127" s="28"/>
      <c r="O127" s="35"/>
      <c r="P127" s="35"/>
      <c r="Q127" s="35"/>
      <c r="R127" s="35"/>
      <c r="S127" s="35"/>
      <c r="T127" s="35"/>
      <c r="U127" s="35"/>
      <c r="V127" s="35"/>
    </row>
    <row r="128" spans="2:22" ht="87" hidden="1" customHeight="1">
      <c r="B128" s="319"/>
      <c r="C128" s="319"/>
      <c r="D128" s="126"/>
      <c r="E128" s="320"/>
      <c r="F128" s="320"/>
      <c r="G128" s="320"/>
      <c r="H128" s="320"/>
      <c r="I128" s="320"/>
      <c r="J128" s="128"/>
      <c r="K128" s="128"/>
      <c r="L128" s="128"/>
      <c r="N128" s="28"/>
      <c r="O128" s="35"/>
      <c r="P128" s="35"/>
      <c r="Q128" s="35"/>
      <c r="R128" s="35"/>
      <c r="S128" s="35"/>
      <c r="T128" s="35"/>
      <c r="U128" s="35"/>
      <c r="V128" s="35"/>
    </row>
    <row r="129" spans="2:22" ht="71.25" hidden="1" customHeight="1">
      <c r="B129" s="319"/>
      <c r="C129" s="319"/>
      <c r="D129" s="126"/>
      <c r="E129" s="320"/>
      <c r="F129" s="320"/>
      <c r="G129" s="320"/>
      <c r="H129" s="320"/>
      <c r="I129" s="320"/>
      <c r="J129" s="122"/>
      <c r="K129" s="122"/>
      <c r="L129" s="122"/>
      <c r="N129" s="31" t="s">
        <v>21</v>
      </c>
      <c r="O129" s="318" t="s">
        <v>28</v>
      </c>
      <c r="P129" s="318"/>
      <c r="Q129" s="318"/>
      <c r="R129" s="318"/>
      <c r="S129" s="318"/>
      <c r="T129" s="318"/>
      <c r="U129" s="318"/>
      <c r="V129" s="318"/>
    </row>
    <row r="130" spans="2:22" ht="86.25" hidden="1" customHeight="1">
      <c r="B130" s="319"/>
      <c r="C130" s="319"/>
      <c r="D130" s="126"/>
      <c r="E130" s="320"/>
      <c r="F130" s="320"/>
      <c r="G130" s="320"/>
      <c r="H130" s="320"/>
      <c r="I130" s="320"/>
      <c r="J130" s="122"/>
      <c r="K130" s="122"/>
      <c r="L130" s="122"/>
      <c r="N130" s="31" t="s">
        <v>22</v>
      </c>
      <c r="O130" s="318" t="s">
        <v>262</v>
      </c>
      <c r="P130" s="318"/>
      <c r="Q130" s="318"/>
      <c r="R130" s="318"/>
      <c r="S130" s="318"/>
      <c r="T130" s="318"/>
      <c r="U130" s="318"/>
      <c r="V130" s="318"/>
    </row>
    <row r="131" spans="2:22" ht="83.25" hidden="1" customHeight="1">
      <c r="B131" s="319"/>
      <c r="C131" s="319"/>
      <c r="D131" s="126"/>
      <c r="E131" s="320"/>
      <c r="F131" s="320"/>
      <c r="G131" s="320"/>
      <c r="H131" s="320"/>
      <c r="I131" s="320"/>
      <c r="J131" s="122"/>
      <c r="K131" s="129"/>
      <c r="L131" s="122"/>
      <c r="N131" s="31" t="s">
        <v>23</v>
      </c>
      <c r="O131" s="318" t="s">
        <v>29</v>
      </c>
      <c r="P131" s="318"/>
      <c r="Q131" s="318"/>
      <c r="R131" s="318"/>
      <c r="S131" s="318"/>
      <c r="T131" s="318"/>
      <c r="U131" s="318"/>
      <c r="V131" s="318"/>
    </row>
    <row r="132" spans="2:22" ht="45.75" hidden="1" customHeight="1">
      <c r="B132" s="122"/>
      <c r="C132" s="122"/>
      <c r="D132" s="122"/>
      <c r="E132" s="130"/>
      <c r="F132" s="122"/>
      <c r="G132" s="122"/>
      <c r="H132" s="122"/>
      <c r="I132" s="122"/>
      <c r="J132" s="122"/>
      <c r="K132" s="129"/>
      <c r="L132" s="122"/>
      <c r="N132" s="31"/>
      <c r="O132" s="35"/>
      <c r="P132" s="35"/>
      <c r="Q132" s="35"/>
      <c r="R132" s="35"/>
      <c r="S132" s="35"/>
      <c r="T132" s="35"/>
      <c r="U132" s="35"/>
      <c r="V132" s="35"/>
    </row>
    <row r="133" spans="2:22" ht="15.75" hidden="1" customHeight="1">
      <c r="B133" s="122"/>
      <c r="C133" s="122"/>
      <c r="D133" s="122"/>
      <c r="E133" s="130"/>
      <c r="F133" s="122"/>
      <c r="G133" s="122"/>
      <c r="H133" s="122"/>
      <c r="I133" s="122"/>
      <c r="J133" s="122"/>
      <c r="K133" s="129"/>
      <c r="L133" s="122"/>
      <c r="N133" s="31"/>
      <c r="O133" s="35"/>
      <c r="P133" s="35"/>
      <c r="Q133" s="35"/>
      <c r="R133" s="35"/>
      <c r="S133" s="35"/>
      <c r="T133" s="35"/>
      <c r="U133" s="35"/>
      <c r="V133" s="35"/>
    </row>
    <row r="134" spans="2:22" ht="22.5" hidden="1" customHeight="1">
      <c r="B134" s="321"/>
      <c r="C134" s="321"/>
      <c r="D134" s="122"/>
      <c r="E134" s="322"/>
      <c r="F134" s="322"/>
      <c r="G134" s="322"/>
      <c r="H134" s="322"/>
      <c r="I134" s="322"/>
      <c r="J134" s="123"/>
      <c r="K134" s="124"/>
      <c r="L134" s="125"/>
      <c r="N134" s="28" t="s">
        <v>25</v>
      </c>
      <c r="O134" s="318" t="s">
        <v>27</v>
      </c>
      <c r="P134" s="318"/>
      <c r="Q134" s="318"/>
      <c r="R134" s="318"/>
      <c r="S134" s="318"/>
      <c r="T134" s="318"/>
      <c r="U134" s="318"/>
      <c r="V134" s="318"/>
    </row>
    <row r="135" spans="2:22" ht="87.75" hidden="1" customHeight="1">
      <c r="B135" s="319"/>
      <c r="C135" s="319"/>
      <c r="D135" s="126"/>
      <c r="E135" s="320"/>
      <c r="F135" s="320"/>
      <c r="G135" s="320"/>
      <c r="H135" s="320"/>
      <c r="I135" s="320"/>
      <c r="J135" s="123"/>
      <c r="K135" s="127"/>
      <c r="L135" s="122"/>
      <c r="N135" s="28"/>
      <c r="O135" s="35"/>
      <c r="P135" s="35"/>
      <c r="Q135" s="35"/>
      <c r="R135" s="35"/>
      <c r="S135" s="35"/>
      <c r="T135" s="35"/>
      <c r="U135" s="35"/>
      <c r="V135" s="35"/>
    </row>
    <row r="136" spans="2:22" ht="87" hidden="1" customHeight="1">
      <c r="B136" s="319"/>
      <c r="C136" s="319"/>
      <c r="D136" s="126"/>
      <c r="E136" s="320"/>
      <c r="F136" s="320"/>
      <c r="G136" s="320"/>
      <c r="H136" s="320"/>
      <c r="I136" s="320"/>
      <c r="J136" s="128"/>
      <c r="K136" s="128"/>
      <c r="L136" s="128"/>
      <c r="N136" s="28"/>
      <c r="O136" s="35"/>
      <c r="P136" s="35"/>
      <c r="Q136" s="35"/>
      <c r="R136" s="35"/>
      <c r="S136" s="35"/>
      <c r="T136" s="35"/>
      <c r="U136" s="35"/>
      <c r="V136" s="35"/>
    </row>
    <row r="137" spans="2:22" ht="71.25" hidden="1" customHeight="1">
      <c r="B137" s="319"/>
      <c r="C137" s="319"/>
      <c r="D137" s="126"/>
      <c r="E137" s="320"/>
      <c r="F137" s="320"/>
      <c r="G137" s="320"/>
      <c r="H137" s="320"/>
      <c r="I137" s="320"/>
      <c r="J137" s="122"/>
      <c r="K137" s="122"/>
      <c r="L137" s="122"/>
      <c r="N137" s="31" t="s">
        <v>21</v>
      </c>
      <c r="O137" s="318" t="s">
        <v>28</v>
      </c>
      <c r="P137" s="318"/>
      <c r="Q137" s="318"/>
      <c r="R137" s="318"/>
      <c r="S137" s="318"/>
      <c r="T137" s="318"/>
      <c r="U137" s="318"/>
      <c r="V137" s="318"/>
    </row>
    <row r="138" spans="2:22" ht="86.25" hidden="1" customHeight="1">
      <c r="B138" s="319"/>
      <c r="C138" s="319"/>
      <c r="D138" s="126"/>
      <c r="E138" s="320"/>
      <c r="F138" s="320"/>
      <c r="G138" s="320"/>
      <c r="H138" s="320"/>
      <c r="I138" s="320"/>
      <c r="J138" s="122"/>
      <c r="K138" s="122"/>
      <c r="L138" s="122"/>
      <c r="N138" s="31" t="s">
        <v>22</v>
      </c>
      <c r="O138" s="318" t="s">
        <v>262</v>
      </c>
      <c r="P138" s="318"/>
      <c r="Q138" s="318"/>
      <c r="R138" s="318"/>
      <c r="S138" s="318"/>
      <c r="T138" s="318"/>
      <c r="U138" s="318"/>
      <c r="V138" s="318"/>
    </row>
    <row r="139" spans="2:22" ht="83.25" hidden="1" customHeight="1">
      <c r="B139" s="319"/>
      <c r="C139" s="319"/>
      <c r="D139" s="126"/>
      <c r="E139" s="320"/>
      <c r="F139" s="320"/>
      <c r="G139" s="320"/>
      <c r="H139" s="320"/>
      <c r="I139" s="320"/>
      <c r="J139" s="122"/>
      <c r="K139" s="129"/>
      <c r="L139" s="122"/>
      <c r="N139" s="31" t="s">
        <v>23</v>
      </c>
      <c r="O139" s="318" t="s">
        <v>29</v>
      </c>
      <c r="P139" s="318"/>
      <c r="Q139" s="318"/>
      <c r="R139" s="318"/>
      <c r="S139" s="318"/>
      <c r="T139" s="318"/>
      <c r="U139" s="318"/>
      <c r="V139" s="318"/>
    </row>
    <row r="140" spans="2:22" ht="15.75" hidden="1" customHeight="1">
      <c r="B140" s="122"/>
      <c r="C140" s="122"/>
      <c r="D140" s="122"/>
      <c r="E140" s="130"/>
      <c r="F140" s="122"/>
      <c r="G140" s="122"/>
      <c r="H140" s="122"/>
      <c r="I140" s="122"/>
      <c r="J140" s="122"/>
      <c r="K140" s="122"/>
      <c r="L140" s="122"/>
      <c r="N140" s="31"/>
      <c r="O140" s="35"/>
      <c r="P140" s="35"/>
      <c r="Q140" s="35"/>
      <c r="R140" s="35"/>
      <c r="S140" s="35"/>
      <c r="T140" s="35"/>
      <c r="U140" s="35"/>
      <c r="V140" s="35"/>
    </row>
    <row r="141" spans="2:22" ht="15.75" hidden="1" customHeight="1">
      <c r="B141" s="122"/>
      <c r="C141" s="122"/>
      <c r="D141" s="122"/>
      <c r="E141" s="122"/>
      <c r="F141" s="122"/>
      <c r="G141" s="122"/>
      <c r="H141" s="122"/>
      <c r="I141" s="122"/>
      <c r="J141" s="122"/>
      <c r="K141" s="122"/>
      <c r="L141" s="122"/>
      <c r="N141" s="31"/>
      <c r="O141" s="35"/>
      <c r="P141" s="35"/>
      <c r="Q141" s="35"/>
      <c r="R141" s="35"/>
      <c r="S141" s="35"/>
      <c r="T141" s="35"/>
      <c r="U141" s="35"/>
      <c r="V141" s="35"/>
    </row>
    <row r="142" spans="2:22" ht="15.75" hidden="1" customHeight="1">
      <c r="B142" s="131"/>
      <c r="C142" s="131"/>
      <c r="D142" s="122"/>
      <c r="E142" s="130"/>
      <c r="F142" s="122"/>
      <c r="G142" s="122"/>
      <c r="H142" s="122"/>
      <c r="I142" s="122"/>
      <c r="J142" s="122"/>
      <c r="K142" s="122"/>
      <c r="L142" s="122"/>
      <c r="N142" s="31"/>
      <c r="O142" s="35"/>
      <c r="P142" s="35"/>
      <c r="Q142" s="35"/>
      <c r="R142" s="35"/>
      <c r="S142" s="35"/>
      <c r="T142" s="35"/>
      <c r="U142" s="35"/>
      <c r="V142" s="35"/>
    </row>
    <row r="143" spans="2:22" ht="15.75" hidden="1" customHeight="1">
      <c r="B143" s="131"/>
      <c r="C143" s="131"/>
      <c r="D143" s="122"/>
      <c r="E143" s="130"/>
      <c r="F143" s="122"/>
      <c r="G143" s="122"/>
      <c r="H143" s="122"/>
      <c r="I143" s="122"/>
      <c r="J143" s="122"/>
      <c r="K143" s="129"/>
      <c r="L143" s="122"/>
      <c r="N143" s="31"/>
      <c r="O143" s="35"/>
      <c r="P143" s="35"/>
      <c r="Q143" s="35"/>
      <c r="R143" s="35"/>
      <c r="S143" s="35"/>
      <c r="T143" s="35"/>
      <c r="U143" s="35"/>
      <c r="V143" s="35"/>
    </row>
    <row r="144" spans="2:22" ht="15.75" hidden="1" customHeight="1">
      <c r="B144" s="122"/>
      <c r="C144" s="132"/>
      <c r="D144" s="122"/>
      <c r="E144" s="130"/>
      <c r="F144" s="122"/>
      <c r="G144" s="122"/>
      <c r="H144" s="122"/>
      <c r="I144" s="122"/>
      <c r="J144" s="122"/>
      <c r="K144" s="129"/>
      <c r="L144" s="122"/>
      <c r="N144" s="31"/>
      <c r="O144" s="35"/>
      <c r="P144" s="35"/>
      <c r="Q144" s="35"/>
      <c r="R144" s="35"/>
      <c r="S144" s="35"/>
      <c r="T144" s="35"/>
      <c r="U144" s="35"/>
      <c r="V144" s="35"/>
    </row>
    <row r="145" spans="2:22" ht="48.75" hidden="1" customHeight="1">
      <c r="B145" s="122"/>
      <c r="C145" s="122"/>
      <c r="D145" s="122"/>
      <c r="E145" s="130"/>
      <c r="F145" s="122"/>
      <c r="G145" s="122"/>
      <c r="H145" s="122"/>
      <c r="I145" s="122"/>
      <c r="J145" s="122"/>
      <c r="K145" s="129"/>
      <c r="L145" s="122"/>
      <c r="N145" s="31"/>
      <c r="O145" s="35"/>
      <c r="P145" s="35"/>
      <c r="Q145" s="35"/>
      <c r="R145" s="35"/>
      <c r="S145" s="35"/>
      <c r="T145" s="35"/>
      <c r="U145" s="35"/>
      <c r="V145" s="35"/>
    </row>
    <row r="146" spans="2:22" ht="15" hidden="1" customHeight="1">
      <c r="B146" s="122"/>
      <c r="C146" s="122"/>
      <c r="D146" s="122"/>
      <c r="E146" s="130"/>
      <c r="F146" s="122"/>
      <c r="G146" s="122"/>
      <c r="H146" s="122"/>
      <c r="I146" s="122"/>
      <c r="J146" s="122"/>
      <c r="K146" s="122"/>
      <c r="L146" s="122"/>
      <c r="N146" s="31"/>
      <c r="O146" s="35"/>
      <c r="P146" s="35"/>
      <c r="Q146" s="35"/>
      <c r="R146" s="35"/>
      <c r="S146" s="35"/>
      <c r="T146" s="35"/>
      <c r="U146" s="35"/>
      <c r="V146" s="35"/>
    </row>
    <row r="147" spans="2:22" ht="30" hidden="1" customHeight="1">
      <c r="B147" s="122"/>
      <c r="C147" s="122"/>
      <c r="D147" s="122"/>
      <c r="E147" s="122"/>
      <c r="F147" s="122"/>
      <c r="G147" s="122"/>
      <c r="H147" s="122"/>
      <c r="I147" s="122"/>
      <c r="J147" s="122"/>
      <c r="K147" s="122"/>
      <c r="L147" s="122"/>
      <c r="N147" s="31"/>
      <c r="O147" s="35"/>
      <c r="P147" s="35"/>
      <c r="Q147" s="35"/>
      <c r="R147" s="35"/>
      <c r="S147" s="35"/>
      <c r="T147" s="35"/>
      <c r="U147" s="35"/>
      <c r="V147" s="35"/>
    </row>
    <row r="148" spans="2:22" ht="60" hidden="1" customHeight="1">
      <c r="B148" s="128"/>
      <c r="C148" s="128"/>
      <c r="D148" s="128"/>
      <c r="E148" s="128"/>
      <c r="F148" s="128"/>
      <c r="G148" s="128"/>
      <c r="H148" s="128"/>
      <c r="I148" s="128"/>
      <c r="J148" s="128"/>
      <c r="K148" s="128"/>
      <c r="L148" s="128"/>
      <c r="N148" s="31"/>
      <c r="O148" s="35"/>
      <c r="P148" s="35"/>
      <c r="Q148" s="35"/>
      <c r="R148" s="35"/>
      <c r="S148" s="35"/>
      <c r="T148" s="35"/>
      <c r="U148" s="35"/>
      <c r="V148" s="35"/>
    </row>
    <row r="149" spans="2:22" ht="15" hidden="1" customHeight="1">
      <c r="B149" s="133"/>
      <c r="C149" s="133"/>
      <c r="D149" s="133"/>
      <c r="E149" s="133"/>
      <c r="F149" s="133"/>
      <c r="G149" s="133"/>
      <c r="H149" s="133"/>
      <c r="I149" s="133"/>
      <c r="J149" s="133"/>
      <c r="K149" s="133"/>
      <c r="L149" s="133"/>
      <c r="N149" s="31"/>
      <c r="O149" s="35"/>
      <c r="P149" s="35"/>
      <c r="Q149" s="35"/>
      <c r="R149" s="35"/>
      <c r="S149" s="35"/>
      <c r="T149" s="35"/>
      <c r="U149" s="35"/>
      <c r="V149" s="35"/>
    </row>
    <row r="150" spans="2:22" ht="30" hidden="1" customHeight="1">
      <c r="B150" s="134"/>
      <c r="C150" s="134"/>
      <c r="D150" s="133"/>
      <c r="E150" s="135"/>
      <c r="F150" s="133"/>
      <c r="G150" s="133"/>
      <c r="H150" s="133"/>
      <c r="I150" s="133"/>
      <c r="J150" s="133"/>
      <c r="K150" s="136"/>
      <c r="L150" s="133"/>
      <c r="N150" s="31"/>
      <c r="O150" s="35"/>
      <c r="P150" s="35"/>
      <c r="Q150" s="35"/>
      <c r="R150" s="35"/>
      <c r="S150" s="35"/>
      <c r="T150" s="35"/>
      <c r="U150" s="35"/>
      <c r="V150" s="35"/>
    </row>
    <row r="151" spans="2:22" ht="15" hidden="1" customHeight="1">
      <c r="B151" s="133"/>
      <c r="C151" s="133"/>
      <c r="D151" s="133"/>
      <c r="E151" s="133"/>
      <c r="F151" s="133"/>
      <c r="G151" s="133"/>
      <c r="H151" s="133"/>
      <c r="I151" s="133"/>
      <c r="J151" s="133"/>
      <c r="K151" s="133"/>
      <c r="L151" s="133"/>
      <c r="N151" s="31"/>
      <c r="O151" s="35"/>
      <c r="P151" s="35"/>
      <c r="Q151" s="35"/>
      <c r="R151" s="35"/>
      <c r="S151" s="35"/>
      <c r="T151" s="35"/>
      <c r="U151" s="35"/>
      <c r="V151" s="35"/>
    </row>
    <row r="152" spans="2:22" ht="30" hidden="1" customHeight="1">
      <c r="B152" s="134"/>
      <c r="C152" s="134"/>
      <c r="D152" s="133"/>
      <c r="E152" s="135"/>
      <c r="F152" s="133"/>
      <c r="G152" s="133"/>
      <c r="H152" s="133"/>
      <c r="I152" s="133"/>
      <c r="J152" s="133"/>
      <c r="K152" s="136"/>
      <c r="L152" s="133"/>
      <c r="N152" s="31"/>
      <c r="O152" s="35"/>
      <c r="P152" s="35"/>
      <c r="Q152" s="35"/>
      <c r="R152" s="35"/>
      <c r="S152" s="35"/>
      <c r="T152" s="35"/>
      <c r="U152" s="35"/>
      <c r="V152" s="35"/>
    </row>
    <row r="153" spans="2:22" ht="15" hidden="1" customHeight="1">
      <c r="B153" s="133"/>
      <c r="C153" s="133"/>
      <c r="D153" s="133"/>
      <c r="E153" s="133"/>
      <c r="F153" s="133"/>
      <c r="G153" s="133"/>
      <c r="H153" s="133"/>
      <c r="I153" s="133"/>
      <c r="J153" s="133"/>
      <c r="K153" s="133"/>
      <c r="L153" s="133"/>
      <c r="N153" s="31"/>
      <c r="O153" s="35"/>
      <c r="P153" s="35"/>
      <c r="Q153" s="35"/>
      <c r="R153" s="35"/>
      <c r="S153" s="35"/>
      <c r="T153" s="35"/>
      <c r="U153" s="35"/>
      <c r="V153" s="35"/>
    </row>
    <row r="154" spans="2:22" ht="30" hidden="1" customHeight="1">
      <c r="B154" s="134"/>
      <c r="C154" s="134"/>
      <c r="D154" s="133"/>
      <c r="E154" s="135"/>
      <c r="F154" s="133"/>
      <c r="G154" s="133"/>
      <c r="H154" s="133"/>
      <c r="I154" s="133"/>
      <c r="J154" s="133"/>
      <c r="K154" s="136"/>
      <c r="L154" s="133"/>
      <c r="N154" s="31"/>
      <c r="O154" s="35"/>
      <c r="P154" s="35"/>
      <c r="Q154" s="35"/>
      <c r="R154" s="35"/>
      <c r="S154" s="35"/>
      <c r="T154" s="35"/>
      <c r="U154" s="35"/>
      <c r="V154" s="35"/>
    </row>
    <row r="155" spans="2:22" ht="15" hidden="1" customHeight="1">
      <c r="B155" s="133"/>
      <c r="C155" s="133"/>
      <c r="D155" s="133"/>
      <c r="E155" s="133"/>
      <c r="F155" s="133"/>
      <c r="G155" s="133"/>
      <c r="H155" s="133"/>
      <c r="I155" s="133"/>
      <c r="J155" s="133"/>
      <c r="K155" s="133"/>
      <c r="L155" s="133"/>
      <c r="N155" s="31"/>
      <c r="O155" s="35"/>
      <c r="P155" s="35"/>
      <c r="Q155" s="35"/>
      <c r="R155" s="35"/>
      <c r="S155" s="35"/>
      <c r="T155" s="35"/>
      <c r="U155" s="35"/>
      <c r="V155" s="35"/>
    </row>
    <row r="156" spans="2:22" ht="15" hidden="1" customHeight="1">
      <c r="B156" s="133"/>
      <c r="C156" s="133"/>
      <c r="D156" s="133"/>
      <c r="E156" s="133"/>
      <c r="F156" s="133"/>
      <c r="G156" s="133"/>
      <c r="H156" s="133"/>
      <c r="I156" s="133"/>
      <c r="J156" s="133"/>
      <c r="K156" s="133"/>
      <c r="L156" s="133"/>
      <c r="N156" s="31"/>
      <c r="O156" s="35"/>
      <c r="P156" s="35"/>
      <c r="Q156" s="35"/>
      <c r="R156" s="35"/>
      <c r="S156" s="35"/>
      <c r="T156" s="35"/>
      <c r="U156" s="35"/>
      <c r="V156" s="35"/>
    </row>
    <row r="157" spans="2:22" ht="15" hidden="1" customHeight="1">
      <c r="B157" s="133"/>
      <c r="C157" s="133"/>
      <c r="D157" s="133"/>
      <c r="E157" s="133"/>
      <c r="F157" s="133"/>
      <c r="G157" s="133"/>
      <c r="H157" s="133"/>
      <c r="I157" s="133"/>
      <c r="J157" s="133"/>
      <c r="K157" s="133"/>
      <c r="L157" s="133"/>
      <c r="N157" s="31"/>
      <c r="O157" s="35"/>
      <c r="P157" s="35"/>
      <c r="Q157" s="35"/>
      <c r="R157" s="35"/>
      <c r="S157" s="35"/>
      <c r="T157" s="35"/>
      <c r="U157" s="35"/>
      <c r="V157" s="35"/>
    </row>
    <row r="158" spans="2:22" ht="15" hidden="1" customHeight="1">
      <c r="B158" s="133"/>
      <c r="C158" s="133"/>
      <c r="D158" s="133"/>
      <c r="E158" s="133"/>
      <c r="F158" s="133"/>
      <c r="G158" s="133"/>
      <c r="H158" s="133"/>
      <c r="I158" s="133"/>
      <c r="J158" s="133"/>
      <c r="K158" s="133"/>
      <c r="L158" s="133"/>
      <c r="N158" s="31"/>
      <c r="O158" s="35"/>
      <c r="P158" s="35"/>
      <c r="Q158" s="35"/>
      <c r="R158" s="35"/>
      <c r="S158" s="35"/>
      <c r="T158" s="35"/>
      <c r="U158" s="35"/>
      <c r="V158" s="35"/>
    </row>
    <row r="159" spans="2:22" ht="15" hidden="1" customHeight="1">
      <c r="B159" s="133"/>
      <c r="C159" s="133"/>
      <c r="D159" s="133"/>
      <c r="E159" s="133"/>
      <c r="F159" s="133"/>
      <c r="G159" s="133"/>
      <c r="H159" s="133"/>
      <c r="I159" s="133"/>
      <c r="J159" s="133"/>
      <c r="K159" s="133"/>
      <c r="L159" s="133"/>
      <c r="N159" s="31"/>
      <c r="O159" s="35"/>
      <c r="P159" s="35"/>
      <c r="Q159" s="35"/>
      <c r="R159" s="35"/>
      <c r="S159" s="35"/>
      <c r="T159" s="35"/>
      <c r="U159" s="35"/>
      <c r="V159" s="35"/>
    </row>
    <row r="160" spans="2:22" ht="15" hidden="1" customHeight="1">
      <c r="B160" s="133"/>
      <c r="C160" s="133"/>
      <c r="D160" s="133"/>
      <c r="E160" s="133"/>
      <c r="F160" s="133"/>
      <c r="G160" s="133"/>
      <c r="H160" s="133"/>
      <c r="I160" s="133"/>
      <c r="J160" s="133"/>
      <c r="K160" s="133"/>
      <c r="L160" s="133"/>
      <c r="N160" s="31"/>
      <c r="O160" s="35"/>
      <c r="P160" s="35"/>
      <c r="Q160" s="35"/>
      <c r="R160" s="35"/>
      <c r="S160" s="35"/>
      <c r="T160" s="35"/>
      <c r="U160" s="35"/>
      <c r="V160" s="35"/>
    </row>
    <row r="161" spans="2:22" ht="15" hidden="1" customHeight="1">
      <c r="B161" s="133"/>
      <c r="C161" s="133"/>
      <c r="D161" s="133"/>
      <c r="E161" s="133"/>
      <c r="F161" s="133"/>
      <c r="G161" s="133"/>
      <c r="H161" s="133"/>
      <c r="I161" s="133"/>
      <c r="J161" s="133"/>
      <c r="K161" s="133"/>
      <c r="L161" s="133"/>
      <c r="N161" s="31"/>
      <c r="O161" s="35"/>
      <c r="P161" s="35"/>
      <c r="Q161" s="35"/>
      <c r="R161" s="35"/>
      <c r="S161" s="35"/>
      <c r="T161" s="35"/>
      <c r="U161" s="35"/>
      <c r="V161" s="35"/>
    </row>
    <row r="162" spans="2:22" ht="15" hidden="1" customHeight="1">
      <c r="B162" s="133"/>
      <c r="C162" s="133"/>
      <c r="D162" s="133"/>
      <c r="E162" s="133"/>
      <c r="F162" s="133"/>
      <c r="G162" s="133"/>
      <c r="H162" s="133"/>
      <c r="I162" s="133"/>
      <c r="J162" s="133"/>
      <c r="K162" s="133"/>
      <c r="L162" s="133"/>
      <c r="N162" s="31"/>
      <c r="O162" s="35"/>
      <c r="P162" s="35"/>
      <c r="Q162" s="35"/>
      <c r="R162" s="35"/>
      <c r="S162" s="35"/>
      <c r="T162" s="35"/>
      <c r="U162" s="35"/>
      <c r="V162" s="35"/>
    </row>
    <row r="163" spans="2:22" ht="15.5" hidden="1">
      <c r="B163" s="133"/>
      <c r="C163" s="133"/>
      <c r="D163" s="133"/>
      <c r="E163" s="133"/>
      <c r="F163" s="133"/>
      <c r="G163" s="133"/>
      <c r="H163" s="133"/>
      <c r="I163" s="133"/>
      <c r="J163" s="133"/>
      <c r="K163" s="133"/>
      <c r="L163" s="133"/>
    </row>
    <row r="164" spans="2:22" ht="15.5" hidden="1">
      <c r="B164" s="21"/>
      <c r="C164" s="21"/>
      <c r="D164" s="21"/>
      <c r="E164" s="21"/>
      <c r="F164" s="21"/>
      <c r="G164" s="21"/>
      <c r="H164" s="21"/>
      <c r="I164" s="21"/>
      <c r="J164" s="21"/>
      <c r="K164" s="21"/>
      <c r="L164" s="21"/>
    </row>
    <row r="165" spans="2:22" ht="12.75" customHeight="1"/>
    <row r="166" spans="2:22" ht="12.75" customHeight="1"/>
    <row r="167" spans="2:22" ht="12.75" customHeight="1"/>
    <row r="168" spans="2:22" ht="12.75" customHeight="1"/>
    <row r="169" spans="2:22" ht="12.75" customHeight="1"/>
    <row r="170" spans="2:22" ht="12.75" customHeight="1"/>
    <row r="171" spans="2:22" ht="12.75" customHeight="1"/>
    <row r="172" spans="2:22" ht="12.75" customHeight="1"/>
    <row r="173" spans="2:22" ht="12.75" customHeight="1"/>
    <row r="174" spans="2:22" ht="12.75" customHeight="1"/>
    <row r="175" spans="2:22" ht="12.75" customHeight="1"/>
    <row r="176" spans="2:22" ht="12.75" customHeight="1"/>
    <row r="177" ht="12.75" customHeight="1"/>
    <row r="178" ht="12.75" customHeight="1"/>
    <row r="179" ht="12.75" customHeight="1"/>
    <row r="180" ht="12.75" customHeight="1"/>
  </sheetData>
  <sheetProtection sheet="1" selectLockedCells="1"/>
  <mergeCells count="64">
    <mergeCell ref="B65:C70"/>
    <mergeCell ref="K17:K19"/>
    <mergeCell ref="B49:C53"/>
    <mergeCell ref="B56:C56"/>
    <mergeCell ref="B57:C61"/>
    <mergeCell ref="B64:C64"/>
    <mergeCell ref="B32:C32"/>
    <mergeCell ref="B33:C37"/>
    <mergeCell ref="B40:C40"/>
    <mergeCell ref="B41:C45"/>
    <mergeCell ref="B48:C48"/>
    <mergeCell ref="B15:C15"/>
    <mergeCell ref="B18:C18"/>
    <mergeCell ref="B19:C19"/>
    <mergeCell ref="B25:C29"/>
    <mergeCell ref="B24:C24"/>
    <mergeCell ref="B9:C9"/>
    <mergeCell ref="B130:C130"/>
    <mergeCell ref="B72:C72"/>
    <mergeCell ref="B73:C77"/>
    <mergeCell ref="B10:C10"/>
    <mergeCell ref="B82:C82"/>
    <mergeCell ref="B83:C87"/>
    <mergeCell ref="B90:C90"/>
    <mergeCell ref="B91:C95"/>
    <mergeCell ref="B98:C98"/>
    <mergeCell ref="B99:C103"/>
    <mergeCell ref="B106:C106"/>
    <mergeCell ref="B107:C111"/>
    <mergeCell ref="B114:C114"/>
    <mergeCell ref="B115:C119"/>
    <mergeCell ref="B13:C13"/>
    <mergeCell ref="E130:I130"/>
    <mergeCell ref="O130:V130"/>
    <mergeCell ref="B125:L125"/>
    <mergeCell ref="B126:C126"/>
    <mergeCell ref="E126:I126"/>
    <mergeCell ref="O126:V126"/>
    <mergeCell ref="B127:C127"/>
    <mergeCell ref="E127:I127"/>
    <mergeCell ref="B128:C128"/>
    <mergeCell ref="E128:I128"/>
    <mergeCell ref="B129:C129"/>
    <mergeCell ref="E129:I129"/>
    <mergeCell ref="O129:V129"/>
    <mergeCell ref="B131:C131"/>
    <mergeCell ref="E131:I131"/>
    <mergeCell ref="O131:V131"/>
    <mergeCell ref="B134:C134"/>
    <mergeCell ref="E134:I134"/>
    <mergeCell ref="O134:V134"/>
    <mergeCell ref="B135:C135"/>
    <mergeCell ref="E135:I135"/>
    <mergeCell ref="B136:C136"/>
    <mergeCell ref="E136:I136"/>
    <mergeCell ref="B137:C137"/>
    <mergeCell ref="E137:I137"/>
    <mergeCell ref="O137:V137"/>
    <mergeCell ref="B138:C138"/>
    <mergeCell ref="E138:I138"/>
    <mergeCell ref="O138:V138"/>
    <mergeCell ref="B139:C139"/>
    <mergeCell ref="E139:I139"/>
    <mergeCell ref="O139:V139"/>
  </mergeCells>
  <dataValidations count="1">
    <dataValidation type="list" allowBlank="1" showInputMessage="1" showErrorMessage="1" sqref="E23 E31 E39 E47 E55 E81 E89 E97" xr:uid="{4BDD4C9D-DA90-4CD1-8FDB-5FAFE731EF14}">
      <formula1>"Choose a role,Machine Learning Engineer,Data Scientist,Software Engineer,AI Strategist/Business Analyst"</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93" id="{F74C084C-F4EE-4475-9A5B-0F7E710BB356}">
            <xm:f>'0-Home'!$L$1="Currency: USD"</xm:f>
            <x14:dxf>
              <numFmt numFmtId="171" formatCode="&quot;$&quot;#,##0"/>
            </x14:dxf>
          </x14:cfRule>
          <x14:cfRule type="expression" priority="394" id="{DF07E20E-319B-42FD-AB55-723337DB95C6}">
            <xm:f>'0-Home'!$L$1="Currency: EUR"</xm:f>
            <x14:dxf>
              <numFmt numFmtId="170" formatCode="#,##0\ [$€-1]"/>
            </x14:dxf>
          </x14:cfRule>
          <xm:sqref>E10</xm:sqref>
        </x14:conditionalFormatting>
        <x14:conditionalFormatting xmlns:xm="http://schemas.microsoft.com/office/excel/2006/main">
          <x14:cfRule type="expression" priority="391" id="{FCDA9501-7BC7-476D-8EDE-895A8B1022C4}">
            <xm:f>'0-Home'!$L$1="Currency: USD"</xm:f>
            <x14:dxf>
              <numFmt numFmtId="171" formatCode="&quot;$&quot;#,##0"/>
            </x14:dxf>
          </x14:cfRule>
          <x14:cfRule type="expression" priority="392" id="{E072FC6C-115F-47B0-A041-69805DDD800D}">
            <xm:f>'0-Home'!$L$1="Currency: EUR"</xm:f>
            <x14:dxf>
              <numFmt numFmtId="170" formatCode="#,##0\ [$€-1]"/>
            </x14:dxf>
          </x14:cfRule>
          <xm:sqref>G10</xm:sqref>
        </x14:conditionalFormatting>
        <x14:conditionalFormatting xmlns:xm="http://schemas.microsoft.com/office/excel/2006/main">
          <x14:cfRule type="expression" priority="389" id="{54270642-3841-4323-9108-517A501B25C7}">
            <xm:f>'0-Home'!$L$1="Currency: USD"</xm:f>
            <x14:dxf>
              <numFmt numFmtId="171" formatCode="&quot;$&quot;#,##0"/>
            </x14:dxf>
          </x14:cfRule>
          <x14:cfRule type="expression" priority="390" id="{586DD436-1DDA-4D53-AA16-DDDF0C71CF54}">
            <xm:f>'0-Home'!$L$1="Currency: EUR"</xm:f>
            <x14:dxf>
              <numFmt numFmtId="170" formatCode="#,##0\ [$€-1]"/>
            </x14:dxf>
          </x14:cfRule>
          <xm:sqref>I10</xm:sqref>
        </x14:conditionalFormatting>
        <x14:conditionalFormatting xmlns:xm="http://schemas.microsoft.com/office/excel/2006/main">
          <x14:cfRule type="expression" priority="387" id="{410AA40E-8FE8-404B-9B77-93FD1A15376C}">
            <xm:f>'0-Home'!$L$1="Currency: USD"</xm:f>
            <x14:dxf>
              <numFmt numFmtId="171" formatCode="&quot;$&quot;#,##0"/>
            </x14:dxf>
          </x14:cfRule>
          <x14:cfRule type="expression" priority="388" id="{71F341B0-09C4-4E90-AAF5-0FC4AEA60397}">
            <xm:f>'0-Home'!$L$1="Currency: EUR"</xm:f>
            <x14:dxf>
              <numFmt numFmtId="170" formatCode="#,##0\ [$€-1]"/>
            </x14:dxf>
          </x14:cfRule>
          <xm:sqref>E15</xm:sqref>
        </x14:conditionalFormatting>
        <x14:conditionalFormatting xmlns:xm="http://schemas.microsoft.com/office/excel/2006/main">
          <x14:cfRule type="expression" priority="385" id="{812FD232-4C76-46A0-A4DD-D1E148C92FCA}">
            <xm:f>'0-Home'!$L$1="Currency: USD"</xm:f>
            <x14:dxf>
              <numFmt numFmtId="171" formatCode="&quot;$&quot;#,##0"/>
            </x14:dxf>
          </x14:cfRule>
          <x14:cfRule type="expression" priority="386" id="{FD557A93-122C-4922-AB7A-DFC65CE0FD25}">
            <xm:f>'0-Home'!$L$1="Currency: EUR"</xm:f>
            <x14:dxf>
              <numFmt numFmtId="170" formatCode="#,##0\ [$€-1]"/>
            </x14:dxf>
          </x14:cfRule>
          <xm:sqref>G15</xm:sqref>
        </x14:conditionalFormatting>
        <x14:conditionalFormatting xmlns:xm="http://schemas.microsoft.com/office/excel/2006/main">
          <x14:cfRule type="expression" priority="381" id="{B53AAC54-8933-405A-BAC3-ED32F0DE7573}">
            <xm:f>'0-Home'!$L$1="Currency: USD"</xm:f>
            <x14:dxf>
              <numFmt numFmtId="171" formatCode="&quot;$&quot;#,##0"/>
            </x14:dxf>
          </x14:cfRule>
          <x14:cfRule type="expression" priority="382" id="{4919B433-FFD8-45B6-9017-3E2F9074F2FD}">
            <xm:f>'0-Home'!$L$1="Currency: EUR"</xm:f>
            <x14:dxf>
              <numFmt numFmtId="170" formatCode="#,##0\ [$€-1]"/>
            </x14:dxf>
          </x14:cfRule>
          <xm:sqref>I24</xm:sqref>
        </x14:conditionalFormatting>
        <x14:conditionalFormatting xmlns:xm="http://schemas.microsoft.com/office/excel/2006/main">
          <x14:cfRule type="expression" priority="371" id="{FD62244B-A286-4D59-98EF-E81A4E324259}">
            <xm:f>'0-Home'!$L$1="Currency: EUR"</xm:f>
            <x14:dxf>
              <numFmt numFmtId="170" formatCode="#,##0\ [$€-1]"/>
            </x14:dxf>
          </x14:cfRule>
          <x14:cfRule type="expression" priority="372" id="{2CBACC84-AF24-488F-8955-82D25771F8C1}">
            <xm:f>'0-Home'!$L$1="Currency: USD"</xm:f>
            <x14:dxf>
              <numFmt numFmtId="171" formatCode="&quot;$&quot;#,##0"/>
            </x14:dxf>
          </x14:cfRule>
          <xm:sqref>G24</xm:sqref>
        </x14:conditionalFormatting>
        <x14:conditionalFormatting xmlns:xm="http://schemas.microsoft.com/office/excel/2006/main">
          <x14:cfRule type="expression" priority="369" id="{6AA74911-95BF-4F37-9846-393206E2CB94}">
            <xm:f>'0-Home'!$L$1="Currency: EUR"</xm:f>
            <x14:dxf>
              <numFmt numFmtId="170" formatCode="#,##0\ [$€-1]"/>
            </x14:dxf>
          </x14:cfRule>
          <x14:cfRule type="expression" priority="370" id="{FE4A84AA-057E-42F0-8939-A47E7C147AF0}">
            <xm:f>'0-Home'!$L$1="Currency: USD"</xm:f>
            <x14:dxf>
              <numFmt numFmtId="171" formatCode="&quot;$&quot;#,##0"/>
            </x14:dxf>
          </x14:cfRule>
          <xm:sqref>G26</xm:sqref>
        </x14:conditionalFormatting>
        <x14:conditionalFormatting xmlns:xm="http://schemas.microsoft.com/office/excel/2006/main">
          <x14:cfRule type="expression" priority="291" id="{D0665966-6B41-4842-A10B-919F5F4E00E4}">
            <xm:f>'0-Home'!$L$1="Currency: EUR"</xm:f>
            <x14:dxf>
              <numFmt numFmtId="170" formatCode="#,##0\ [$€-1]"/>
            </x14:dxf>
          </x14:cfRule>
          <x14:cfRule type="expression" priority="292" id="{0B9C849E-9041-4D60-B238-B602031FA1DD}">
            <xm:f>'0-Home'!$L$1="Currency: USD"</xm:f>
            <x14:dxf>
              <numFmt numFmtId="171" formatCode="&quot;$&quot;#,##0"/>
            </x14:dxf>
          </x14:cfRule>
          <xm:sqref>G64</xm:sqref>
        </x14:conditionalFormatting>
        <x14:conditionalFormatting xmlns:xm="http://schemas.microsoft.com/office/excel/2006/main">
          <x14:cfRule type="expression" priority="289" id="{3487F3BA-EE23-4C35-84BE-C2784EA38C30}">
            <xm:f>'0-Home'!$L$1="Currency: EUR"</xm:f>
            <x14:dxf>
              <numFmt numFmtId="170" formatCode="#,##0\ [$€-1]"/>
            </x14:dxf>
          </x14:cfRule>
          <x14:cfRule type="expression" priority="290" id="{73DE51BE-EBC4-4D79-BF1F-6BCB730C5C34}">
            <xm:f>'0-Home'!$L$1="Currency: USD"</xm:f>
            <x14:dxf>
              <numFmt numFmtId="171" formatCode="&quot;$&quot;#,##0"/>
            </x14:dxf>
          </x14:cfRule>
          <xm:sqref>G66</xm:sqref>
        </x14:conditionalFormatting>
        <x14:conditionalFormatting xmlns:xm="http://schemas.microsoft.com/office/excel/2006/main">
          <x14:cfRule type="expression" priority="287" id="{B16B84EA-8035-4C3D-9F1D-CA149C902B21}">
            <xm:f>'0-Home'!$L$1="Currency: USD"</xm:f>
            <x14:dxf>
              <numFmt numFmtId="171" formatCode="&quot;$&quot;#,##0"/>
            </x14:dxf>
          </x14:cfRule>
          <x14:cfRule type="expression" priority="288" id="{86953BA7-81D6-43FD-ACCD-98015CBF8948}">
            <xm:f>'0-Home'!$L$1="Currency: EUR"</xm:f>
            <x14:dxf>
              <numFmt numFmtId="170" formatCode="#,##0\ [$€-1]"/>
            </x14:dxf>
          </x14:cfRule>
          <xm:sqref>I64</xm:sqref>
        </x14:conditionalFormatting>
        <x14:conditionalFormatting xmlns:xm="http://schemas.microsoft.com/office/excel/2006/main">
          <x14:cfRule type="expression" priority="285" id="{BDE7BEB9-BAD4-4CAE-AD83-76CB6293BC99}">
            <xm:f>'0-Home'!$L$1="Currency: USD"</xm:f>
            <x14:dxf>
              <numFmt numFmtId="171" formatCode="&quot;$&quot;#,##0"/>
            </x14:dxf>
          </x14:cfRule>
          <x14:cfRule type="expression" priority="286" id="{10028326-F6CA-4749-96EF-40BFC70A9568}">
            <xm:f>'0-Home'!$L$1="Currency: EUR"</xm:f>
            <x14:dxf>
              <numFmt numFmtId="170" formatCode="#,##0\ [$€-1]"/>
            </x14:dxf>
          </x14:cfRule>
          <xm:sqref>I66</xm:sqref>
        </x14:conditionalFormatting>
        <x14:conditionalFormatting xmlns:xm="http://schemas.microsoft.com/office/excel/2006/main">
          <x14:cfRule type="expression" priority="279" id="{86384CCD-A75E-4692-9C5A-1E3A7A8F9CA2}">
            <xm:f>'0-Home'!$L$1="Currency: EUR"</xm:f>
            <x14:dxf>
              <numFmt numFmtId="170" formatCode="#,##0\ [$€-1]"/>
            </x14:dxf>
          </x14:cfRule>
          <x14:cfRule type="expression" priority="280" id="{6A4A362C-B153-473F-9855-4CB5D664977C}">
            <xm:f>'0-Home'!$L$1="Currency: USD"</xm:f>
            <x14:dxf>
              <numFmt numFmtId="171" formatCode="&quot;$&quot;#,##0"/>
            </x14:dxf>
          </x14:cfRule>
          <xm:sqref>G72</xm:sqref>
        </x14:conditionalFormatting>
        <x14:conditionalFormatting xmlns:xm="http://schemas.microsoft.com/office/excel/2006/main">
          <x14:cfRule type="expression" priority="277" id="{9FD74569-1D11-4CED-9F9E-163A283C1959}">
            <xm:f>'0-Home'!$L$1="Currency: EUR"</xm:f>
            <x14:dxf>
              <numFmt numFmtId="170" formatCode="#,##0\ [$€-1]"/>
            </x14:dxf>
          </x14:cfRule>
          <x14:cfRule type="expression" priority="278" id="{6EC2F9CD-50A6-4D7F-9BCC-ED690B915CE0}">
            <xm:f>'0-Home'!$L$1="Currency: USD"</xm:f>
            <x14:dxf>
              <numFmt numFmtId="171" formatCode="&quot;$&quot;#,##0"/>
            </x14:dxf>
          </x14:cfRule>
          <xm:sqref>G74</xm:sqref>
        </x14:conditionalFormatting>
        <x14:conditionalFormatting xmlns:xm="http://schemas.microsoft.com/office/excel/2006/main">
          <x14:cfRule type="expression" priority="275" id="{DD37B79C-9D44-4ED6-9989-5AA79839C362}">
            <xm:f>'0-Home'!$L$1="Currency: USD"</xm:f>
            <x14:dxf>
              <numFmt numFmtId="171" formatCode="&quot;$&quot;#,##0"/>
            </x14:dxf>
          </x14:cfRule>
          <x14:cfRule type="expression" priority="276" id="{42579898-F4A4-4007-ACD6-1FB9018BAA2A}">
            <xm:f>'0-Home'!$L$1="Currency: EUR"</xm:f>
            <x14:dxf>
              <numFmt numFmtId="170" formatCode="#,##0\ [$€-1]"/>
            </x14:dxf>
          </x14:cfRule>
          <xm:sqref>I72</xm:sqref>
        </x14:conditionalFormatting>
        <x14:conditionalFormatting xmlns:xm="http://schemas.microsoft.com/office/excel/2006/main">
          <x14:cfRule type="expression" priority="273" id="{35A2F085-2240-4C0D-BADA-DF10A225C36D}">
            <xm:f>'0-Home'!$L$1="Currency: USD"</xm:f>
            <x14:dxf>
              <numFmt numFmtId="171" formatCode="&quot;$&quot;#,##0"/>
            </x14:dxf>
          </x14:cfRule>
          <x14:cfRule type="expression" priority="274" id="{343B43A6-DF94-4E80-93D5-85AF99D7E82D}">
            <xm:f>'0-Home'!$L$1="Currency: EUR"</xm:f>
            <x14:dxf>
              <numFmt numFmtId="170" formatCode="#,##0\ [$€-1]"/>
            </x14:dxf>
          </x14:cfRule>
          <xm:sqref>I74</xm:sqref>
        </x14:conditionalFormatting>
        <x14:conditionalFormatting xmlns:xm="http://schemas.microsoft.com/office/excel/2006/main">
          <x14:cfRule type="expression" priority="211" id="{F0EDC5DD-CBDA-4269-A4A7-9D9F674F00AA}">
            <xm:f>'0-Home'!$L$1="Currency: EUR"</xm:f>
            <x14:dxf>
              <numFmt numFmtId="170" formatCode="#,##0\ [$€-1]"/>
            </x14:dxf>
          </x14:cfRule>
          <x14:cfRule type="expression" priority="212" id="{C01E4C0D-EF32-4623-9076-426596ECFEF0}">
            <xm:f>'0-Home'!$L$1="Currency: USD"</xm:f>
            <x14:dxf>
              <numFmt numFmtId="171" formatCode="&quot;$&quot;#,##0"/>
            </x14:dxf>
          </x14:cfRule>
          <xm:sqref>G106</xm:sqref>
        </x14:conditionalFormatting>
        <x14:conditionalFormatting xmlns:xm="http://schemas.microsoft.com/office/excel/2006/main">
          <x14:cfRule type="expression" priority="209" id="{B759E56F-7B32-478E-A4FB-950BAAB2C703}">
            <xm:f>'0-Home'!$L$1="Currency: EUR"</xm:f>
            <x14:dxf>
              <numFmt numFmtId="170" formatCode="#,##0\ [$€-1]"/>
            </x14:dxf>
          </x14:cfRule>
          <x14:cfRule type="expression" priority="210" id="{1BC8554E-29BC-486D-B370-D7FD42E6598A}">
            <xm:f>'0-Home'!$L$1="Currency: USD"</xm:f>
            <x14:dxf>
              <numFmt numFmtId="171" formatCode="&quot;$&quot;#,##0"/>
            </x14:dxf>
          </x14:cfRule>
          <xm:sqref>G108</xm:sqref>
        </x14:conditionalFormatting>
        <x14:conditionalFormatting xmlns:xm="http://schemas.microsoft.com/office/excel/2006/main">
          <x14:cfRule type="expression" priority="207" id="{FBF352CD-9938-48A7-BA83-5BA71FCFA374}">
            <xm:f>'0-Home'!$L$1="Currency: USD"</xm:f>
            <x14:dxf>
              <numFmt numFmtId="171" formatCode="&quot;$&quot;#,##0"/>
            </x14:dxf>
          </x14:cfRule>
          <x14:cfRule type="expression" priority="208" id="{021F42FE-5274-468F-BECC-9564D0997C98}">
            <xm:f>'0-Home'!$L$1="Currency: EUR"</xm:f>
            <x14:dxf>
              <numFmt numFmtId="170" formatCode="#,##0\ [$€-1]"/>
            </x14:dxf>
          </x14:cfRule>
          <xm:sqref>I106</xm:sqref>
        </x14:conditionalFormatting>
        <x14:conditionalFormatting xmlns:xm="http://schemas.microsoft.com/office/excel/2006/main">
          <x14:cfRule type="expression" priority="205" id="{12E39FD4-CDE0-4A04-A5CD-473874BF8388}">
            <xm:f>'0-Home'!$L$1="Currency: USD"</xm:f>
            <x14:dxf>
              <numFmt numFmtId="171" formatCode="&quot;$&quot;#,##0"/>
            </x14:dxf>
          </x14:cfRule>
          <x14:cfRule type="expression" priority="206" id="{9E6B66F2-7AA3-4F36-B29B-D83554577D28}">
            <xm:f>'0-Home'!$L$1="Currency: EUR"</xm:f>
            <x14:dxf>
              <numFmt numFmtId="170" formatCode="#,##0\ [$€-1]"/>
            </x14:dxf>
          </x14:cfRule>
          <xm:sqref>I108</xm:sqref>
        </x14:conditionalFormatting>
        <x14:conditionalFormatting xmlns:xm="http://schemas.microsoft.com/office/excel/2006/main">
          <x14:cfRule type="expression" priority="199" id="{9689616A-702F-48E5-B6AD-B982D623291A}">
            <xm:f>'0-Home'!$L$1="Currency: USD"</xm:f>
            <x14:dxf>
              <numFmt numFmtId="171" formatCode="&quot;$&quot;#,##0"/>
            </x14:dxf>
          </x14:cfRule>
          <x14:cfRule type="expression" priority="200" id="{40CEC399-3DB6-44E0-8A44-C2BA6FD1950D}">
            <xm:f>'0-Home'!$L$1="Currency: EUR"</xm:f>
            <x14:dxf>
              <numFmt numFmtId="170" formatCode="#,##0\ [$€-1]"/>
            </x14:dxf>
          </x14:cfRule>
          <xm:sqref>I114</xm:sqref>
        </x14:conditionalFormatting>
        <x14:conditionalFormatting xmlns:xm="http://schemas.microsoft.com/office/excel/2006/main">
          <x14:cfRule type="expression" priority="197" id="{E34CFC3E-F769-4E09-A292-0DCA8DA251FF}">
            <xm:f>'0-Home'!$L$1="Currency: USD"</xm:f>
            <x14:dxf>
              <numFmt numFmtId="171" formatCode="&quot;$&quot;#,##0"/>
            </x14:dxf>
          </x14:cfRule>
          <x14:cfRule type="expression" priority="198" id="{9BED544B-26DC-4417-A676-2CB26014B36B}">
            <xm:f>'0-Home'!$L$1="Currency: EUR"</xm:f>
            <x14:dxf>
              <numFmt numFmtId="170" formatCode="#,##0\ [$€-1]"/>
            </x14:dxf>
          </x14:cfRule>
          <xm:sqref>I116</xm:sqref>
        </x14:conditionalFormatting>
        <x14:conditionalFormatting xmlns:xm="http://schemas.microsoft.com/office/excel/2006/main">
          <x14:cfRule type="expression" priority="191" id="{B87B0729-F44B-4E9F-9E4A-753D5EB736C8}">
            <xm:f>'0-Home'!$L$1="Currency: EUR"</xm:f>
            <x14:dxf>
              <numFmt numFmtId="170" formatCode="#,##0\ [$€-1]"/>
            </x14:dxf>
          </x14:cfRule>
          <x14:cfRule type="expression" priority="192" id="{D081C9FB-1513-43A6-96E6-455AE9F048CE}">
            <xm:f>'0-Home'!$L$1="Currency: USD"</xm:f>
            <x14:dxf>
              <numFmt numFmtId="171" formatCode="&quot;$&quot;#,##0"/>
            </x14:dxf>
          </x14:cfRule>
          <xm:sqref>G114</xm:sqref>
        </x14:conditionalFormatting>
        <x14:conditionalFormatting xmlns:xm="http://schemas.microsoft.com/office/excel/2006/main">
          <x14:cfRule type="expression" priority="189" id="{1E29745B-8748-44CA-A2DC-0F6872612A0B}">
            <xm:f>'0-Home'!$L$1="Currency: EUR"</xm:f>
            <x14:dxf>
              <numFmt numFmtId="170" formatCode="#,##0\ [$€-1]"/>
            </x14:dxf>
          </x14:cfRule>
          <x14:cfRule type="expression" priority="190" id="{0B5349DC-272B-4892-AADD-D07DDB9914EF}">
            <xm:f>'0-Home'!$L$1="Currency: USD"</xm:f>
            <x14:dxf>
              <numFmt numFmtId="171" formatCode="&quot;$&quot;#,##0"/>
            </x14:dxf>
          </x14:cfRule>
          <xm:sqref>G116</xm:sqref>
        </x14:conditionalFormatting>
        <x14:conditionalFormatting xmlns:xm="http://schemas.microsoft.com/office/excel/2006/main">
          <x14:cfRule type="expression" priority="187" id="{1B01A3D9-6850-4776-B527-AA24F5868F28}">
            <xm:f>'0-Home'!$L$1="Currency: USD"</xm:f>
            <x14:dxf>
              <numFmt numFmtId="171" formatCode="&quot;$&quot;#,##0"/>
            </x14:dxf>
          </x14:cfRule>
          <x14:cfRule type="expression" priority="188" id="{AF266738-3E8C-4610-A512-96F2788378FE}">
            <xm:f>'0-Home'!$L$1="Currency: EUR"</xm:f>
            <x14:dxf>
              <numFmt numFmtId="170" formatCode="#,##0\ [$€-1]"/>
            </x14:dxf>
          </x14:cfRule>
          <xm:sqref>I15</xm:sqref>
        </x14:conditionalFormatting>
        <x14:conditionalFormatting xmlns:xm="http://schemas.microsoft.com/office/excel/2006/main">
          <x14:cfRule type="expression" priority="185" id="{77C00DF3-2863-4B42-8013-57F711051B5E}">
            <xm:f>'0-Home'!$L$1="Currency: USD"</xm:f>
            <x14:dxf>
              <numFmt numFmtId="171" formatCode="&quot;$&quot;#,##0"/>
            </x14:dxf>
          </x14:cfRule>
          <x14:cfRule type="expression" priority="186" id="{2ADFE867-2D8E-41CF-A915-6C740D80B0E7}">
            <xm:f>'0-Home'!$L$1="Currency: EUR"</xm:f>
            <x14:dxf>
              <numFmt numFmtId="170" formatCode="#,##0\ [$€-1]"/>
            </x14:dxf>
          </x14:cfRule>
          <xm:sqref>G28</xm:sqref>
        </x14:conditionalFormatting>
        <x14:conditionalFormatting xmlns:xm="http://schemas.microsoft.com/office/excel/2006/main">
          <x14:cfRule type="expression" priority="183" id="{073EEE5E-4CBC-4733-93A8-B5AA187E9DB5}">
            <xm:f>'0-Home'!$L$1="Currency: USD"</xm:f>
            <x14:dxf>
              <numFmt numFmtId="171" formatCode="&quot;$&quot;#,##0"/>
            </x14:dxf>
          </x14:cfRule>
          <x14:cfRule type="expression" priority="184" id="{B4DDC508-7ADE-4540-9E80-9086ECB9BE3B}">
            <xm:f>'0-Home'!$L$1="Currency: EUR"</xm:f>
            <x14:dxf>
              <numFmt numFmtId="170" formatCode="#,##0\ [$€-1]"/>
            </x14:dxf>
          </x14:cfRule>
          <xm:sqref>I28</xm:sqref>
        </x14:conditionalFormatting>
        <x14:conditionalFormatting xmlns:xm="http://schemas.microsoft.com/office/excel/2006/main">
          <x14:cfRule type="expression" priority="179" id="{D4AA1EAA-02F4-4718-BA41-C58FE614B88C}">
            <xm:f>'0-Home'!$L$1="Currency: USD"</xm:f>
            <x14:dxf>
              <numFmt numFmtId="171" formatCode="&quot;$&quot;#,##0"/>
            </x14:dxf>
          </x14:cfRule>
          <x14:cfRule type="expression" priority="180" id="{65BF7671-4344-4653-8CBD-A186F222FF3F}">
            <xm:f>'0-Home'!$L$1="Currency: EUR"</xm:f>
            <x14:dxf>
              <numFmt numFmtId="170" formatCode="#,##0\ [$€-1]"/>
            </x14:dxf>
          </x14:cfRule>
          <xm:sqref>G36</xm:sqref>
        </x14:conditionalFormatting>
        <x14:conditionalFormatting xmlns:xm="http://schemas.microsoft.com/office/excel/2006/main">
          <x14:cfRule type="expression" priority="173" id="{EBE41453-405C-45C2-9174-2167FA7C7751}">
            <xm:f>'0-Home'!$L$1="Currency: USD"</xm:f>
            <x14:dxf>
              <numFmt numFmtId="171" formatCode="&quot;$&quot;#,##0"/>
            </x14:dxf>
          </x14:cfRule>
          <x14:cfRule type="expression" priority="174" id="{86DA5DEB-07A8-46FB-97FF-ED9CAABF280B}">
            <xm:f>'0-Home'!$L$1="Currency: EUR"</xm:f>
            <x14:dxf>
              <numFmt numFmtId="170" formatCode="#,##0\ [$€-1]"/>
            </x14:dxf>
          </x14:cfRule>
          <xm:sqref>G44</xm:sqref>
        </x14:conditionalFormatting>
        <x14:conditionalFormatting xmlns:xm="http://schemas.microsoft.com/office/excel/2006/main">
          <x14:cfRule type="expression" priority="167" id="{75B22422-D3C6-4319-AE97-8A1C7BD2C988}">
            <xm:f>'0-Home'!$L$1="Currency: USD"</xm:f>
            <x14:dxf>
              <numFmt numFmtId="171" formatCode="&quot;$&quot;#,##0"/>
            </x14:dxf>
          </x14:cfRule>
          <x14:cfRule type="expression" priority="168" id="{8D873A1B-459A-4E32-BC17-7D917149D024}">
            <xm:f>'0-Home'!$L$1="Currency: EUR"</xm:f>
            <x14:dxf>
              <numFmt numFmtId="170" formatCode="#,##0\ [$€-1]"/>
            </x14:dxf>
          </x14:cfRule>
          <xm:sqref>G52</xm:sqref>
        </x14:conditionalFormatting>
        <x14:conditionalFormatting xmlns:xm="http://schemas.microsoft.com/office/excel/2006/main">
          <x14:cfRule type="expression" priority="161" id="{E8FBC131-0BF7-417A-B737-67ABAC091A53}">
            <xm:f>'0-Home'!$L$1="Currency: USD"</xm:f>
            <x14:dxf>
              <numFmt numFmtId="171" formatCode="&quot;$&quot;#,##0"/>
            </x14:dxf>
          </x14:cfRule>
          <x14:cfRule type="expression" priority="162" id="{54B566AA-9889-41EA-B08B-B16CCC3CC5C0}">
            <xm:f>'0-Home'!$L$1="Currency: EUR"</xm:f>
            <x14:dxf>
              <numFmt numFmtId="170" formatCode="#,##0\ [$€-1]"/>
            </x14:dxf>
          </x14:cfRule>
          <xm:sqref>G60</xm:sqref>
        </x14:conditionalFormatting>
        <x14:conditionalFormatting xmlns:xm="http://schemas.microsoft.com/office/excel/2006/main">
          <x14:cfRule type="expression" priority="157" id="{1E96967B-FDFF-4B3D-97FD-948657CC9B75}">
            <xm:f>'0-Home'!$L$1="Currency: USD"</xm:f>
            <x14:dxf>
              <numFmt numFmtId="171" formatCode="&quot;$&quot;#,##0"/>
            </x14:dxf>
          </x14:cfRule>
          <x14:cfRule type="expression" priority="158" id="{EA38DCDB-94B7-4F70-9CFD-F90AACF5D1B2}">
            <xm:f>'0-Home'!$L$1="Currency: EUR"</xm:f>
            <x14:dxf>
              <numFmt numFmtId="170" formatCode="#,##0\ [$€-1]"/>
            </x14:dxf>
          </x14:cfRule>
          <xm:sqref>G68</xm:sqref>
        </x14:conditionalFormatting>
        <x14:conditionalFormatting xmlns:xm="http://schemas.microsoft.com/office/excel/2006/main">
          <x14:cfRule type="expression" priority="153" id="{14206FDE-244E-4810-9360-2802A9456EF5}">
            <xm:f>'0-Home'!$L$1="Currency: USD"</xm:f>
            <x14:dxf>
              <numFmt numFmtId="171" formatCode="&quot;$&quot;#,##0"/>
            </x14:dxf>
          </x14:cfRule>
          <x14:cfRule type="expression" priority="154" id="{3ECCD16F-6680-4808-B7E7-8AEC0D84A92C}">
            <xm:f>'0-Home'!$L$1="Currency: EUR"</xm:f>
            <x14:dxf>
              <numFmt numFmtId="170" formatCode="#,##0\ [$€-1]"/>
            </x14:dxf>
          </x14:cfRule>
          <xm:sqref>G76</xm:sqref>
        </x14:conditionalFormatting>
        <x14:conditionalFormatting xmlns:xm="http://schemas.microsoft.com/office/excel/2006/main">
          <x14:cfRule type="expression" priority="147" id="{C5A6AE37-D60B-4DB4-90BF-DF0CF6383B7C}">
            <xm:f>'0-Home'!$L$1="Currency: USD"</xm:f>
            <x14:dxf>
              <numFmt numFmtId="171" formatCode="&quot;$&quot;#,##0"/>
            </x14:dxf>
          </x14:cfRule>
          <x14:cfRule type="expression" priority="148" id="{C4846959-3B11-420D-A46D-17B6C51A1EFC}">
            <xm:f>'0-Home'!$L$1="Currency: EUR"</xm:f>
            <x14:dxf>
              <numFmt numFmtId="170" formatCode="#,##0\ [$€-1]"/>
            </x14:dxf>
          </x14:cfRule>
          <xm:sqref>G86</xm:sqref>
        </x14:conditionalFormatting>
        <x14:conditionalFormatting xmlns:xm="http://schemas.microsoft.com/office/excel/2006/main">
          <x14:cfRule type="expression" priority="141" id="{F013F2A2-3A45-4D03-99D3-C9BCF59AD1EE}">
            <xm:f>'0-Home'!$L$1="Currency: USD"</xm:f>
            <x14:dxf>
              <numFmt numFmtId="171" formatCode="&quot;$&quot;#,##0"/>
            </x14:dxf>
          </x14:cfRule>
          <x14:cfRule type="expression" priority="142" id="{CB9AA69C-6D37-4561-932E-36F07B96FAFA}">
            <xm:f>'0-Home'!$L$1="Currency: EUR"</xm:f>
            <x14:dxf>
              <numFmt numFmtId="170" formatCode="#,##0\ [$€-1]"/>
            </x14:dxf>
          </x14:cfRule>
          <xm:sqref>G94</xm:sqref>
        </x14:conditionalFormatting>
        <x14:conditionalFormatting xmlns:xm="http://schemas.microsoft.com/office/excel/2006/main">
          <x14:cfRule type="expression" priority="135" id="{D56D2E51-6905-4CF6-834A-2FD4112A9EF6}">
            <xm:f>'0-Home'!$L$1="Currency: USD"</xm:f>
            <x14:dxf>
              <numFmt numFmtId="171" formatCode="&quot;$&quot;#,##0"/>
            </x14:dxf>
          </x14:cfRule>
          <x14:cfRule type="expression" priority="136" id="{F4991491-D1FD-4101-BE59-F727B821C108}">
            <xm:f>'0-Home'!$L$1="Currency: EUR"</xm:f>
            <x14:dxf>
              <numFmt numFmtId="170" formatCode="#,##0\ [$€-1]"/>
            </x14:dxf>
          </x14:cfRule>
          <xm:sqref>G102</xm:sqref>
        </x14:conditionalFormatting>
        <x14:conditionalFormatting xmlns:xm="http://schemas.microsoft.com/office/excel/2006/main">
          <x14:cfRule type="expression" priority="131" id="{2E5A87DC-F1F5-4449-80FF-498611698A43}">
            <xm:f>'0-Home'!$L$1="Currency: USD"</xm:f>
            <x14:dxf>
              <numFmt numFmtId="171" formatCode="&quot;$&quot;#,##0"/>
            </x14:dxf>
          </x14:cfRule>
          <x14:cfRule type="expression" priority="132" id="{9E83E5F9-4C4E-4E72-921D-3A96C085F7F9}">
            <xm:f>'0-Home'!$L$1="Currency: EUR"</xm:f>
            <x14:dxf>
              <numFmt numFmtId="170" formatCode="#,##0\ [$€-1]"/>
            </x14:dxf>
          </x14:cfRule>
          <xm:sqref>G110</xm:sqref>
        </x14:conditionalFormatting>
        <x14:conditionalFormatting xmlns:xm="http://schemas.microsoft.com/office/excel/2006/main">
          <x14:cfRule type="expression" priority="127" id="{A14F49E8-EEB9-4E40-9B16-E555D7CD9CFE}">
            <xm:f>'0-Home'!$L$1="Currency: USD"</xm:f>
            <x14:dxf>
              <numFmt numFmtId="171" formatCode="&quot;$&quot;#,##0"/>
            </x14:dxf>
          </x14:cfRule>
          <x14:cfRule type="expression" priority="128" id="{A5ED0963-A5E8-49D5-BCA9-1685541FEB25}">
            <xm:f>'0-Home'!$L$1="Currency: EUR"</xm:f>
            <x14:dxf>
              <numFmt numFmtId="170" formatCode="#,##0\ [$€-1]"/>
            </x14:dxf>
          </x14:cfRule>
          <xm:sqref>G118</xm:sqref>
        </x14:conditionalFormatting>
        <x14:conditionalFormatting xmlns:xm="http://schemas.microsoft.com/office/excel/2006/main">
          <x14:cfRule type="expression" priority="119" id="{16105BE6-9639-4029-9762-16A833D5D32F}">
            <xm:f>'0-Home'!$L$1="Currency: EUR"</xm:f>
            <x14:dxf>
              <numFmt numFmtId="170" formatCode="#,##0\ [$€-1]"/>
            </x14:dxf>
          </x14:cfRule>
          <x14:cfRule type="expression" priority="120" id="{58812634-3207-4249-ADA0-6B3AD8A3C146}">
            <xm:f>'0-Home'!$L$1="Currency: USD"</xm:f>
            <x14:dxf>
              <numFmt numFmtId="171" formatCode="&quot;$&quot;#,##0"/>
            </x14:dxf>
          </x14:cfRule>
          <xm:sqref>G32</xm:sqref>
        </x14:conditionalFormatting>
        <x14:conditionalFormatting xmlns:xm="http://schemas.microsoft.com/office/excel/2006/main">
          <x14:cfRule type="expression" priority="117" id="{A9C524E5-8BD4-4199-9F65-5EAD326E7273}">
            <xm:f>'0-Home'!$L$1="Currency: EUR"</xm:f>
            <x14:dxf>
              <numFmt numFmtId="170" formatCode="#,##0\ [$€-1]"/>
            </x14:dxf>
          </x14:cfRule>
          <x14:cfRule type="expression" priority="118" id="{C1459D4A-AADD-4E17-ADA8-3A1D9355D802}">
            <xm:f>'0-Home'!$L$1="Currency: USD"</xm:f>
            <x14:dxf>
              <numFmt numFmtId="171" formatCode="&quot;$&quot;#,##0"/>
            </x14:dxf>
          </x14:cfRule>
          <xm:sqref>G34</xm:sqref>
        </x14:conditionalFormatting>
        <x14:conditionalFormatting xmlns:xm="http://schemas.microsoft.com/office/excel/2006/main">
          <x14:cfRule type="expression" priority="111" id="{5C09FE7B-8319-4462-B0EA-439A9ECE19D7}">
            <xm:f>'0-Home'!$L$1="Currency: EUR"</xm:f>
            <x14:dxf>
              <numFmt numFmtId="170" formatCode="#,##0\ [$€-1]"/>
            </x14:dxf>
          </x14:cfRule>
          <x14:cfRule type="expression" priority="112" id="{4509454B-B774-4429-8929-8EA89B1366F8}">
            <xm:f>'0-Home'!$L$1="Currency: USD"</xm:f>
            <x14:dxf>
              <numFmt numFmtId="171" formatCode="&quot;$&quot;#,##0"/>
            </x14:dxf>
          </x14:cfRule>
          <xm:sqref>G40</xm:sqref>
        </x14:conditionalFormatting>
        <x14:conditionalFormatting xmlns:xm="http://schemas.microsoft.com/office/excel/2006/main">
          <x14:cfRule type="expression" priority="109" id="{4B426004-C180-4ECB-9170-3ED358FAA723}">
            <xm:f>'0-Home'!$L$1="Currency: EUR"</xm:f>
            <x14:dxf>
              <numFmt numFmtId="170" formatCode="#,##0\ [$€-1]"/>
            </x14:dxf>
          </x14:cfRule>
          <x14:cfRule type="expression" priority="110" id="{DF759555-04C1-4729-A339-37F91D2A8E84}">
            <xm:f>'0-Home'!$L$1="Currency: USD"</xm:f>
            <x14:dxf>
              <numFmt numFmtId="171" formatCode="&quot;$&quot;#,##0"/>
            </x14:dxf>
          </x14:cfRule>
          <xm:sqref>G42</xm:sqref>
        </x14:conditionalFormatting>
        <x14:conditionalFormatting xmlns:xm="http://schemas.microsoft.com/office/excel/2006/main">
          <x14:cfRule type="expression" priority="103" id="{07BBBF0E-F546-436D-B4D7-84DD55DC11C2}">
            <xm:f>'0-Home'!$L$1="Currency: EUR"</xm:f>
            <x14:dxf>
              <numFmt numFmtId="170" formatCode="#,##0\ [$€-1]"/>
            </x14:dxf>
          </x14:cfRule>
          <x14:cfRule type="expression" priority="104" id="{0E5238B7-0774-4CE2-8CD4-CB1942F4055B}">
            <xm:f>'0-Home'!$L$1="Currency: USD"</xm:f>
            <x14:dxf>
              <numFmt numFmtId="171" formatCode="&quot;$&quot;#,##0"/>
            </x14:dxf>
          </x14:cfRule>
          <xm:sqref>G48</xm:sqref>
        </x14:conditionalFormatting>
        <x14:conditionalFormatting xmlns:xm="http://schemas.microsoft.com/office/excel/2006/main">
          <x14:cfRule type="expression" priority="101" id="{16541598-87CC-4BC5-B630-0E49F1375E47}">
            <xm:f>'0-Home'!$L$1="Currency: EUR"</xm:f>
            <x14:dxf>
              <numFmt numFmtId="170" formatCode="#,##0\ [$€-1]"/>
            </x14:dxf>
          </x14:cfRule>
          <x14:cfRule type="expression" priority="102" id="{4B7D446C-79BB-4AC1-9C2B-4F342D5A5292}">
            <xm:f>'0-Home'!$L$1="Currency: USD"</xm:f>
            <x14:dxf>
              <numFmt numFmtId="171" formatCode="&quot;$&quot;#,##0"/>
            </x14:dxf>
          </x14:cfRule>
          <xm:sqref>G50</xm:sqref>
        </x14:conditionalFormatting>
        <x14:conditionalFormatting xmlns:xm="http://schemas.microsoft.com/office/excel/2006/main">
          <x14:cfRule type="expression" priority="95" id="{909794B3-A825-4E96-BD78-1B6B47119AB8}">
            <xm:f>'0-Home'!$L$1="Currency: EUR"</xm:f>
            <x14:dxf>
              <numFmt numFmtId="170" formatCode="#,##0\ [$€-1]"/>
            </x14:dxf>
          </x14:cfRule>
          <x14:cfRule type="expression" priority="96" id="{DF02610A-A230-4B07-ADDB-FEB1F859DDB8}">
            <xm:f>'0-Home'!$L$1="Currency: USD"</xm:f>
            <x14:dxf>
              <numFmt numFmtId="171" formatCode="&quot;$&quot;#,##0"/>
            </x14:dxf>
          </x14:cfRule>
          <xm:sqref>G56</xm:sqref>
        </x14:conditionalFormatting>
        <x14:conditionalFormatting xmlns:xm="http://schemas.microsoft.com/office/excel/2006/main">
          <x14:cfRule type="expression" priority="93" id="{563FADDF-BC16-41B4-9B6F-EF2397A516C6}">
            <xm:f>'0-Home'!$L$1="Currency: EUR"</xm:f>
            <x14:dxf>
              <numFmt numFmtId="170" formatCode="#,##0\ [$€-1]"/>
            </x14:dxf>
          </x14:cfRule>
          <x14:cfRule type="expression" priority="94" id="{2A1B94EA-C863-41E5-9066-77AC35FDE994}">
            <xm:f>'0-Home'!$L$1="Currency: USD"</xm:f>
            <x14:dxf>
              <numFmt numFmtId="171" formatCode="&quot;$&quot;#,##0"/>
            </x14:dxf>
          </x14:cfRule>
          <xm:sqref>G58</xm:sqref>
        </x14:conditionalFormatting>
        <x14:conditionalFormatting xmlns:xm="http://schemas.microsoft.com/office/excel/2006/main">
          <x14:cfRule type="expression" priority="87" id="{B9419E09-D16A-4BB2-9B43-E33163F4D029}">
            <xm:f>'0-Home'!$L$1="Currency: EUR"</xm:f>
            <x14:dxf>
              <numFmt numFmtId="170" formatCode="#,##0\ [$€-1]"/>
            </x14:dxf>
          </x14:cfRule>
          <x14:cfRule type="expression" priority="88" id="{AC7CC5FC-D637-4C42-A76F-66E23C0F156D}">
            <xm:f>'0-Home'!$L$1="Currency: USD"</xm:f>
            <x14:dxf>
              <numFmt numFmtId="171" formatCode="&quot;$&quot;#,##0"/>
            </x14:dxf>
          </x14:cfRule>
          <xm:sqref>G82</xm:sqref>
        </x14:conditionalFormatting>
        <x14:conditionalFormatting xmlns:xm="http://schemas.microsoft.com/office/excel/2006/main">
          <x14:cfRule type="expression" priority="85" id="{3AA8DE56-324E-4D20-A437-73BE728A176A}">
            <xm:f>'0-Home'!$L$1="Currency: EUR"</xm:f>
            <x14:dxf>
              <numFmt numFmtId="170" formatCode="#,##0\ [$€-1]"/>
            </x14:dxf>
          </x14:cfRule>
          <x14:cfRule type="expression" priority="86" id="{C5B92AC0-4BE1-4C1F-B613-12BA3345A7D5}">
            <xm:f>'0-Home'!$L$1="Currency: USD"</xm:f>
            <x14:dxf>
              <numFmt numFmtId="171" formatCode="&quot;$&quot;#,##0"/>
            </x14:dxf>
          </x14:cfRule>
          <xm:sqref>G84</xm:sqref>
        </x14:conditionalFormatting>
        <x14:conditionalFormatting xmlns:xm="http://schemas.microsoft.com/office/excel/2006/main">
          <x14:cfRule type="expression" priority="79" id="{044AB6C0-FE28-48E0-8C57-BAE7EB59EC33}">
            <xm:f>'0-Home'!$L$1="Currency: EUR"</xm:f>
            <x14:dxf>
              <numFmt numFmtId="170" formatCode="#,##0\ [$€-1]"/>
            </x14:dxf>
          </x14:cfRule>
          <x14:cfRule type="expression" priority="80" id="{0E0487A5-AE93-4B75-93E7-5728D74A0E49}">
            <xm:f>'0-Home'!$L$1="Currency: USD"</xm:f>
            <x14:dxf>
              <numFmt numFmtId="171" formatCode="&quot;$&quot;#,##0"/>
            </x14:dxf>
          </x14:cfRule>
          <xm:sqref>G90</xm:sqref>
        </x14:conditionalFormatting>
        <x14:conditionalFormatting xmlns:xm="http://schemas.microsoft.com/office/excel/2006/main">
          <x14:cfRule type="expression" priority="77" id="{B7D17C8A-1E68-410A-9F68-04863FAC0352}">
            <xm:f>'0-Home'!$L$1="Currency: EUR"</xm:f>
            <x14:dxf>
              <numFmt numFmtId="170" formatCode="#,##0\ [$€-1]"/>
            </x14:dxf>
          </x14:cfRule>
          <x14:cfRule type="expression" priority="78" id="{80D984C8-A260-4EB1-A90C-E13A07F78FC9}">
            <xm:f>'0-Home'!$L$1="Currency: USD"</xm:f>
            <x14:dxf>
              <numFmt numFmtId="171" formatCode="&quot;$&quot;#,##0"/>
            </x14:dxf>
          </x14:cfRule>
          <xm:sqref>G92</xm:sqref>
        </x14:conditionalFormatting>
        <x14:conditionalFormatting xmlns:xm="http://schemas.microsoft.com/office/excel/2006/main">
          <x14:cfRule type="expression" priority="71" id="{0C3F21E7-9C38-4725-B028-D9616DBC51DB}">
            <xm:f>'0-Home'!$L$1="Currency: EUR"</xm:f>
            <x14:dxf>
              <numFmt numFmtId="170" formatCode="#,##0\ [$€-1]"/>
            </x14:dxf>
          </x14:cfRule>
          <x14:cfRule type="expression" priority="72" id="{46CEE3C5-038E-42A9-96A0-A5E85DFAFD30}">
            <xm:f>'0-Home'!$L$1="Currency: USD"</xm:f>
            <x14:dxf>
              <numFmt numFmtId="171" formatCode="&quot;$&quot;#,##0"/>
            </x14:dxf>
          </x14:cfRule>
          <xm:sqref>G98</xm:sqref>
        </x14:conditionalFormatting>
        <x14:conditionalFormatting xmlns:xm="http://schemas.microsoft.com/office/excel/2006/main">
          <x14:cfRule type="expression" priority="69" id="{BEE5DC5E-866D-4AD4-BF4E-76CFABE53FF6}">
            <xm:f>'0-Home'!$L$1="Currency: EUR"</xm:f>
            <x14:dxf>
              <numFmt numFmtId="170" formatCode="#,##0\ [$€-1]"/>
            </x14:dxf>
          </x14:cfRule>
          <x14:cfRule type="expression" priority="70" id="{B7BD3B33-0E2D-4FCF-8459-A04C913B1CD7}">
            <xm:f>'0-Home'!$L$1="Currency: USD"</xm:f>
            <x14:dxf>
              <numFmt numFmtId="171" formatCode="&quot;$&quot;#,##0"/>
            </x14:dxf>
          </x14:cfRule>
          <xm:sqref>G100</xm:sqref>
        </x14:conditionalFormatting>
        <x14:conditionalFormatting xmlns:xm="http://schemas.microsoft.com/office/excel/2006/main">
          <x14:cfRule type="expression" priority="65" id="{6C314EB0-79A6-4022-97A2-420227E6AA26}">
            <xm:f>'0-Home'!$L$1="Currency: USD"</xm:f>
            <x14:dxf>
              <numFmt numFmtId="171" formatCode="&quot;$&quot;#,##0"/>
            </x14:dxf>
          </x14:cfRule>
          <x14:cfRule type="expression" priority="66" id="{EC4D5CEC-C7FF-4752-A998-7EE409E63DE7}">
            <xm:f>'0-Home'!$L$1="Currency: EUR"</xm:f>
            <x14:dxf>
              <numFmt numFmtId="170" formatCode="#,##0\ [$€-1]"/>
            </x14:dxf>
          </x14:cfRule>
          <xm:sqref>I26</xm:sqref>
        </x14:conditionalFormatting>
        <x14:conditionalFormatting xmlns:xm="http://schemas.microsoft.com/office/excel/2006/main">
          <x14:cfRule type="expression" priority="63" id="{124D7C02-9D26-4738-AF69-415E2654DF8C}">
            <xm:f>'0-Home'!$L$1="Currency: USD"</xm:f>
            <x14:dxf>
              <numFmt numFmtId="171" formatCode="&quot;$&quot;#,##0"/>
            </x14:dxf>
          </x14:cfRule>
          <x14:cfRule type="expression" priority="64" id="{74E44122-00A7-4096-BFD1-7F31DC5533C5}">
            <xm:f>'0-Home'!$L$1="Currency: EUR"</xm:f>
            <x14:dxf>
              <numFmt numFmtId="170" formatCode="#,##0\ [$€-1]"/>
            </x14:dxf>
          </x14:cfRule>
          <xm:sqref>I32</xm:sqref>
        </x14:conditionalFormatting>
        <x14:conditionalFormatting xmlns:xm="http://schemas.microsoft.com/office/excel/2006/main">
          <x14:cfRule type="expression" priority="59" id="{705AB044-C37D-4B35-9803-7D6F8789CF0F}">
            <xm:f>'0-Home'!$L$1="Currency: USD"</xm:f>
            <x14:dxf>
              <numFmt numFmtId="171" formatCode="&quot;$&quot;#,##0"/>
            </x14:dxf>
          </x14:cfRule>
          <x14:cfRule type="expression" priority="60" id="{FE85B1B7-D84F-46F8-9140-E60C61489AAA}">
            <xm:f>'0-Home'!$L$1="Currency: EUR"</xm:f>
            <x14:dxf>
              <numFmt numFmtId="170" formatCode="#,##0\ [$€-1]"/>
            </x14:dxf>
          </x14:cfRule>
          <xm:sqref>I34</xm:sqref>
        </x14:conditionalFormatting>
        <x14:conditionalFormatting xmlns:xm="http://schemas.microsoft.com/office/excel/2006/main">
          <x14:cfRule type="expression" priority="57" id="{9C35A9F9-C940-4598-87E3-07E4A30CEA25}">
            <xm:f>'0-Home'!$L$1="Currency: USD"</xm:f>
            <x14:dxf>
              <numFmt numFmtId="171" formatCode="&quot;$&quot;#,##0"/>
            </x14:dxf>
          </x14:cfRule>
          <x14:cfRule type="expression" priority="58" id="{663DD440-E68E-4A74-AFD6-D98F4C3F2393}">
            <xm:f>'0-Home'!$L$1="Currency: EUR"</xm:f>
            <x14:dxf>
              <numFmt numFmtId="170" formatCode="#,##0\ [$€-1]"/>
            </x14:dxf>
          </x14:cfRule>
          <xm:sqref>I40</xm:sqref>
        </x14:conditionalFormatting>
        <x14:conditionalFormatting xmlns:xm="http://schemas.microsoft.com/office/excel/2006/main">
          <x14:cfRule type="expression" priority="53" id="{4039037B-BD74-4F8B-B2F6-8DEA2E8211FF}">
            <xm:f>'0-Home'!$L$1="Currency: USD"</xm:f>
            <x14:dxf>
              <numFmt numFmtId="171" formatCode="&quot;$&quot;#,##0"/>
            </x14:dxf>
          </x14:cfRule>
          <x14:cfRule type="expression" priority="54" id="{D0D4F6DB-4E35-4A73-9DA2-ED566E627DC3}">
            <xm:f>'0-Home'!$L$1="Currency: EUR"</xm:f>
            <x14:dxf>
              <numFmt numFmtId="170" formatCode="#,##0\ [$€-1]"/>
            </x14:dxf>
          </x14:cfRule>
          <xm:sqref>I42</xm:sqref>
        </x14:conditionalFormatting>
        <x14:conditionalFormatting xmlns:xm="http://schemas.microsoft.com/office/excel/2006/main">
          <x14:cfRule type="expression" priority="51" id="{F4706B44-0CF7-4739-908D-31E2E7BDE7DD}">
            <xm:f>'0-Home'!$L$1="Currency: USD"</xm:f>
            <x14:dxf>
              <numFmt numFmtId="171" formatCode="&quot;$&quot;#,##0"/>
            </x14:dxf>
          </x14:cfRule>
          <x14:cfRule type="expression" priority="52" id="{958521EB-F27B-41CE-9B5F-7B0F401CBCB8}">
            <xm:f>'0-Home'!$L$1="Currency: EUR"</xm:f>
            <x14:dxf>
              <numFmt numFmtId="170" formatCode="#,##0\ [$€-1]"/>
            </x14:dxf>
          </x14:cfRule>
          <xm:sqref>I48</xm:sqref>
        </x14:conditionalFormatting>
        <x14:conditionalFormatting xmlns:xm="http://schemas.microsoft.com/office/excel/2006/main">
          <x14:cfRule type="expression" priority="47" id="{F7952FF2-F7B5-46FF-B950-8A936B0C9DBE}">
            <xm:f>'0-Home'!$L$1="Currency: USD"</xm:f>
            <x14:dxf>
              <numFmt numFmtId="171" formatCode="&quot;$&quot;#,##0"/>
            </x14:dxf>
          </x14:cfRule>
          <x14:cfRule type="expression" priority="48" id="{D4918DE3-A418-4965-B729-C399DC7236C3}">
            <xm:f>'0-Home'!$L$1="Currency: EUR"</xm:f>
            <x14:dxf>
              <numFmt numFmtId="170" formatCode="#,##0\ [$€-1]"/>
            </x14:dxf>
          </x14:cfRule>
          <xm:sqref>I50</xm:sqref>
        </x14:conditionalFormatting>
        <x14:conditionalFormatting xmlns:xm="http://schemas.microsoft.com/office/excel/2006/main">
          <x14:cfRule type="expression" priority="45" id="{4F889C82-F9D1-4DC8-BD16-4D70DE55625E}">
            <xm:f>'0-Home'!$L$1="Currency: USD"</xm:f>
            <x14:dxf>
              <numFmt numFmtId="171" formatCode="&quot;$&quot;#,##0"/>
            </x14:dxf>
          </x14:cfRule>
          <x14:cfRule type="expression" priority="46" id="{DB5F8294-893B-457B-8DDC-82A6ED7728C0}">
            <xm:f>'0-Home'!$L$1="Currency: EUR"</xm:f>
            <x14:dxf>
              <numFmt numFmtId="170" formatCode="#,##0\ [$€-1]"/>
            </x14:dxf>
          </x14:cfRule>
          <xm:sqref>I56</xm:sqref>
        </x14:conditionalFormatting>
        <x14:conditionalFormatting xmlns:xm="http://schemas.microsoft.com/office/excel/2006/main">
          <x14:cfRule type="expression" priority="41" id="{3F8D5379-8BDC-44FB-8F1F-BFF54D43B8FD}">
            <xm:f>'0-Home'!$L$1="Currency: USD"</xm:f>
            <x14:dxf>
              <numFmt numFmtId="171" formatCode="&quot;$&quot;#,##0"/>
            </x14:dxf>
          </x14:cfRule>
          <x14:cfRule type="expression" priority="42" id="{667F7131-2A9F-4E95-9296-27F948D459C2}">
            <xm:f>'0-Home'!$L$1="Currency: EUR"</xm:f>
            <x14:dxf>
              <numFmt numFmtId="170" formatCode="#,##0\ [$€-1]"/>
            </x14:dxf>
          </x14:cfRule>
          <xm:sqref>I58</xm:sqref>
        </x14:conditionalFormatting>
        <x14:conditionalFormatting xmlns:xm="http://schemas.microsoft.com/office/excel/2006/main">
          <x14:cfRule type="expression" priority="39" id="{9A8E20DD-EC65-4CE4-AD91-D1F43A251AE1}">
            <xm:f>'0-Home'!$L$1="Currency: USD"</xm:f>
            <x14:dxf>
              <numFmt numFmtId="171" formatCode="&quot;$&quot;#,##0"/>
            </x14:dxf>
          </x14:cfRule>
          <x14:cfRule type="expression" priority="40" id="{B4F56C1D-A202-4023-9362-C3725EF26F6D}">
            <xm:f>'0-Home'!$L$1="Currency: EUR"</xm:f>
            <x14:dxf>
              <numFmt numFmtId="170" formatCode="#,##0\ [$€-1]"/>
            </x14:dxf>
          </x14:cfRule>
          <xm:sqref>I82</xm:sqref>
        </x14:conditionalFormatting>
        <x14:conditionalFormatting xmlns:xm="http://schemas.microsoft.com/office/excel/2006/main">
          <x14:cfRule type="expression" priority="35" id="{B59F849D-6EBE-4E3D-A241-150734F5F9C5}">
            <xm:f>'0-Home'!$L$1="Currency: USD"</xm:f>
            <x14:dxf>
              <numFmt numFmtId="171" formatCode="&quot;$&quot;#,##0"/>
            </x14:dxf>
          </x14:cfRule>
          <x14:cfRule type="expression" priority="36" id="{A0E488EB-3105-40AF-9016-87DD0C2F7C32}">
            <xm:f>'0-Home'!$L$1="Currency: EUR"</xm:f>
            <x14:dxf>
              <numFmt numFmtId="170" formatCode="#,##0\ [$€-1]"/>
            </x14:dxf>
          </x14:cfRule>
          <xm:sqref>I84</xm:sqref>
        </x14:conditionalFormatting>
        <x14:conditionalFormatting xmlns:xm="http://schemas.microsoft.com/office/excel/2006/main">
          <x14:cfRule type="expression" priority="33" id="{AED33E98-03AB-4D06-B14D-CF5988C3B3DB}">
            <xm:f>'0-Home'!$L$1="Currency: USD"</xm:f>
            <x14:dxf>
              <numFmt numFmtId="171" formatCode="&quot;$&quot;#,##0"/>
            </x14:dxf>
          </x14:cfRule>
          <x14:cfRule type="expression" priority="34" id="{7B0CD2AB-5134-4AA9-90BD-9414832271CE}">
            <xm:f>'0-Home'!$L$1="Currency: EUR"</xm:f>
            <x14:dxf>
              <numFmt numFmtId="170" formatCode="#,##0\ [$€-1]"/>
            </x14:dxf>
          </x14:cfRule>
          <xm:sqref>I90</xm:sqref>
        </x14:conditionalFormatting>
        <x14:conditionalFormatting xmlns:xm="http://schemas.microsoft.com/office/excel/2006/main">
          <x14:cfRule type="expression" priority="29" id="{2F4E7514-2CA6-4C74-918E-CBD83D600510}">
            <xm:f>'0-Home'!$L$1="Currency: USD"</xm:f>
            <x14:dxf>
              <numFmt numFmtId="171" formatCode="&quot;$&quot;#,##0"/>
            </x14:dxf>
          </x14:cfRule>
          <x14:cfRule type="expression" priority="30" id="{04710FB3-34CF-4F04-957F-3235738AC54D}">
            <xm:f>'0-Home'!$L$1="Currency: EUR"</xm:f>
            <x14:dxf>
              <numFmt numFmtId="170" formatCode="#,##0\ [$€-1]"/>
            </x14:dxf>
          </x14:cfRule>
          <xm:sqref>I92</xm:sqref>
        </x14:conditionalFormatting>
        <x14:conditionalFormatting xmlns:xm="http://schemas.microsoft.com/office/excel/2006/main">
          <x14:cfRule type="expression" priority="27" id="{11465A1C-B98D-48D5-ACA8-1F89D74B4938}">
            <xm:f>'0-Home'!$L$1="Currency: USD"</xm:f>
            <x14:dxf>
              <numFmt numFmtId="171" formatCode="&quot;$&quot;#,##0"/>
            </x14:dxf>
          </x14:cfRule>
          <x14:cfRule type="expression" priority="28" id="{D9F22D1F-EB6E-4E9C-B2E4-A3621632BB07}">
            <xm:f>'0-Home'!$L$1="Currency: EUR"</xm:f>
            <x14:dxf>
              <numFmt numFmtId="170" formatCode="#,##0\ [$€-1]"/>
            </x14:dxf>
          </x14:cfRule>
          <xm:sqref>I98</xm:sqref>
        </x14:conditionalFormatting>
        <x14:conditionalFormatting xmlns:xm="http://schemas.microsoft.com/office/excel/2006/main">
          <x14:cfRule type="expression" priority="23" id="{4B0B0091-D7C6-4EA0-A75F-A12FD9EE3B79}">
            <xm:f>'0-Home'!$L$1="Currency: USD"</xm:f>
            <x14:dxf>
              <numFmt numFmtId="171" formatCode="&quot;$&quot;#,##0"/>
            </x14:dxf>
          </x14:cfRule>
          <x14:cfRule type="expression" priority="24" id="{F9AE1918-3299-4B22-B2E1-A75CCDB0A48D}">
            <xm:f>'0-Home'!$L$1="Currency: EUR"</xm:f>
            <x14:dxf>
              <numFmt numFmtId="170" formatCode="#,##0\ [$€-1]"/>
            </x14:dxf>
          </x14:cfRule>
          <xm:sqref>I100</xm:sqref>
        </x14:conditionalFormatting>
        <x14:conditionalFormatting xmlns:xm="http://schemas.microsoft.com/office/excel/2006/main">
          <x14:cfRule type="expression" priority="21" id="{8D78AC8C-60BB-457D-A84E-B6CC0584C604}">
            <xm:f>'0-Home'!$L$1="Currency: USD"</xm:f>
            <x14:dxf>
              <numFmt numFmtId="171" formatCode="&quot;$&quot;#,##0"/>
            </x14:dxf>
          </x14:cfRule>
          <x14:cfRule type="expression" priority="22" id="{BE75665C-E429-486E-878C-DEAE273B1155}">
            <xm:f>'0-Home'!$L$1="Currency: EUR"</xm:f>
            <x14:dxf>
              <numFmt numFmtId="170" formatCode="#,##0\ [$€-1]"/>
            </x14:dxf>
          </x14:cfRule>
          <xm:sqref>I36</xm:sqref>
        </x14:conditionalFormatting>
        <x14:conditionalFormatting xmlns:xm="http://schemas.microsoft.com/office/excel/2006/main">
          <x14:cfRule type="expression" priority="19" id="{F48B2F3B-7DE4-4FDB-9E72-66FF35696BA9}">
            <xm:f>'0-Home'!$L$1="Currency: USD"</xm:f>
            <x14:dxf>
              <numFmt numFmtId="171" formatCode="&quot;$&quot;#,##0"/>
            </x14:dxf>
          </x14:cfRule>
          <x14:cfRule type="expression" priority="20" id="{D252ECDC-452A-4981-8DA0-3794D519E1FF}">
            <xm:f>'0-Home'!$L$1="Currency: EUR"</xm:f>
            <x14:dxf>
              <numFmt numFmtId="170" formatCode="#,##0\ [$€-1]"/>
            </x14:dxf>
          </x14:cfRule>
          <xm:sqref>I44</xm:sqref>
        </x14:conditionalFormatting>
        <x14:conditionalFormatting xmlns:xm="http://schemas.microsoft.com/office/excel/2006/main">
          <x14:cfRule type="expression" priority="17" id="{51544910-2D2A-40AB-8F52-1E51DC47CC89}">
            <xm:f>'0-Home'!$L$1="Currency: USD"</xm:f>
            <x14:dxf>
              <numFmt numFmtId="171" formatCode="&quot;$&quot;#,##0"/>
            </x14:dxf>
          </x14:cfRule>
          <x14:cfRule type="expression" priority="18" id="{8E8E4FE6-5863-4A02-801C-6741E2AF47FB}">
            <xm:f>'0-Home'!$L$1="Currency: EUR"</xm:f>
            <x14:dxf>
              <numFmt numFmtId="170" formatCode="#,##0\ [$€-1]"/>
            </x14:dxf>
          </x14:cfRule>
          <xm:sqref>I52</xm:sqref>
        </x14:conditionalFormatting>
        <x14:conditionalFormatting xmlns:xm="http://schemas.microsoft.com/office/excel/2006/main">
          <x14:cfRule type="expression" priority="15" id="{767E0752-67E3-4EE8-95D4-59DFFF9B6E90}">
            <xm:f>'0-Home'!$L$1="Currency: USD"</xm:f>
            <x14:dxf>
              <numFmt numFmtId="171" formatCode="&quot;$&quot;#,##0"/>
            </x14:dxf>
          </x14:cfRule>
          <x14:cfRule type="expression" priority="16" id="{8828DAE1-4D3D-46D3-B59C-D3ECCD6A1346}">
            <xm:f>'0-Home'!$L$1="Currency: EUR"</xm:f>
            <x14:dxf>
              <numFmt numFmtId="170" formatCode="#,##0\ [$€-1]"/>
            </x14:dxf>
          </x14:cfRule>
          <xm:sqref>I60</xm:sqref>
        </x14:conditionalFormatting>
        <x14:conditionalFormatting xmlns:xm="http://schemas.microsoft.com/office/excel/2006/main">
          <x14:cfRule type="expression" priority="13" id="{CEC28DBA-3290-4C54-A10A-AE93B7786665}">
            <xm:f>'0-Home'!$L$1="Currency: USD"</xm:f>
            <x14:dxf>
              <numFmt numFmtId="171" formatCode="&quot;$&quot;#,##0"/>
            </x14:dxf>
          </x14:cfRule>
          <x14:cfRule type="expression" priority="14" id="{886C02AC-82C0-4A99-A68E-4372E1C263DA}">
            <xm:f>'0-Home'!$L$1="Currency: EUR"</xm:f>
            <x14:dxf>
              <numFmt numFmtId="170" formatCode="#,##0\ [$€-1]"/>
            </x14:dxf>
          </x14:cfRule>
          <xm:sqref>I68</xm:sqref>
        </x14:conditionalFormatting>
        <x14:conditionalFormatting xmlns:xm="http://schemas.microsoft.com/office/excel/2006/main">
          <x14:cfRule type="expression" priority="11" id="{8E9B944F-AFB3-4DD4-8170-0CDC86B40065}">
            <xm:f>'0-Home'!$L$1="Currency: USD"</xm:f>
            <x14:dxf>
              <numFmt numFmtId="171" formatCode="&quot;$&quot;#,##0"/>
            </x14:dxf>
          </x14:cfRule>
          <x14:cfRule type="expression" priority="12" id="{E61CF614-6F5F-47D3-B2AD-9C63A27FF176}">
            <xm:f>'0-Home'!$L$1="Currency: EUR"</xm:f>
            <x14:dxf>
              <numFmt numFmtId="170" formatCode="#,##0\ [$€-1]"/>
            </x14:dxf>
          </x14:cfRule>
          <xm:sqref>I76</xm:sqref>
        </x14:conditionalFormatting>
        <x14:conditionalFormatting xmlns:xm="http://schemas.microsoft.com/office/excel/2006/main">
          <x14:cfRule type="expression" priority="9" id="{AEF5375C-CF08-40C4-BE50-D644080D7168}">
            <xm:f>'0-Home'!$L$1="Currency: USD"</xm:f>
            <x14:dxf>
              <numFmt numFmtId="171" formatCode="&quot;$&quot;#,##0"/>
            </x14:dxf>
          </x14:cfRule>
          <x14:cfRule type="expression" priority="10" id="{5C509DD2-2018-412A-9C99-BA4E30279B25}">
            <xm:f>'0-Home'!$L$1="Currency: EUR"</xm:f>
            <x14:dxf>
              <numFmt numFmtId="170" formatCode="#,##0\ [$€-1]"/>
            </x14:dxf>
          </x14:cfRule>
          <xm:sqref>I86</xm:sqref>
        </x14:conditionalFormatting>
        <x14:conditionalFormatting xmlns:xm="http://schemas.microsoft.com/office/excel/2006/main">
          <x14:cfRule type="expression" priority="7" id="{85A6D071-C427-4229-8C49-2FF7289FB6EC}">
            <xm:f>'0-Home'!$L$1="Currency: USD"</xm:f>
            <x14:dxf>
              <numFmt numFmtId="171" formatCode="&quot;$&quot;#,##0"/>
            </x14:dxf>
          </x14:cfRule>
          <x14:cfRule type="expression" priority="8" id="{5125B6DF-C427-445C-B9A4-9AB1C01D5A79}">
            <xm:f>'0-Home'!$L$1="Currency: EUR"</xm:f>
            <x14:dxf>
              <numFmt numFmtId="170" formatCode="#,##0\ [$€-1]"/>
            </x14:dxf>
          </x14:cfRule>
          <xm:sqref>I94</xm:sqref>
        </x14:conditionalFormatting>
        <x14:conditionalFormatting xmlns:xm="http://schemas.microsoft.com/office/excel/2006/main">
          <x14:cfRule type="expression" priority="5" id="{F024D6BD-58F5-40CC-897C-E8943BCECD70}">
            <xm:f>'0-Home'!$L$1="Currency: USD"</xm:f>
            <x14:dxf>
              <numFmt numFmtId="171" formatCode="&quot;$&quot;#,##0"/>
            </x14:dxf>
          </x14:cfRule>
          <x14:cfRule type="expression" priority="6" id="{B4E83C1C-A695-4755-B61F-B9A1533A08E7}">
            <xm:f>'0-Home'!$L$1="Currency: EUR"</xm:f>
            <x14:dxf>
              <numFmt numFmtId="170" formatCode="#,##0\ [$€-1]"/>
            </x14:dxf>
          </x14:cfRule>
          <xm:sqref>I102</xm:sqref>
        </x14:conditionalFormatting>
        <x14:conditionalFormatting xmlns:xm="http://schemas.microsoft.com/office/excel/2006/main">
          <x14:cfRule type="expression" priority="3" id="{565C953D-1429-4156-8A30-234DF9D25335}">
            <xm:f>'0-Home'!$L$1="Currency: USD"</xm:f>
            <x14:dxf>
              <numFmt numFmtId="171" formatCode="&quot;$&quot;#,##0"/>
            </x14:dxf>
          </x14:cfRule>
          <x14:cfRule type="expression" priority="4" id="{0BFAD59F-EBAB-4151-B850-1CA3EA57E21A}">
            <xm:f>'0-Home'!$L$1="Currency: EUR"</xm:f>
            <x14:dxf>
              <numFmt numFmtId="170" formatCode="#,##0\ [$€-1]"/>
            </x14:dxf>
          </x14:cfRule>
          <xm:sqref>I110</xm:sqref>
        </x14:conditionalFormatting>
        <x14:conditionalFormatting xmlns:xm="http://schemas.microsoft.com/office/excel/2006/main">
          <x14:cfRule type="expression" priority="1" id="{797FFEF1-F325-49BB-AE7B-834E145058D9}">
            <xm:f>'0-Home'!$L$1="Currency: USD"</xm:f>
            <x14:dxf>
              <numFmt numFmtId="171" formatCode="&quot;$&quot;#,##0"/>
            </x14:dxf>
          </x14:cfRule>
          <x14:cfRule type="expression" priority="2" id="{117DDCF4-5CFE-4697-A939-D421C8CD7528}">
            <xm:f>'0-Home'!$L$1="Currency: EUR"</xm:f>
            <x14:dxf>
              <numFmt numFmtId="170" formatCode="#,##0\ [$€-1]"/>
            </x14:dxf>
          </x14:cfRule>
          <xm:sqref>I118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34EF571-E22E-4564-9D6C-0883C3BEFFCF}">
          <x14:formula1>
            <xm:f>'2-Value'!$U$22:$U$27</xm:f>
          </x14:formula1>
          <xm:sqref>K24 K116 K114 K108 K106 K100 K98 K92 K90 K84 K82 K74 K72 K66 K64 K58 K56 K50 K48 K42 K40 K34 K32 K26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A57-8A15-4D7E-8715-E5F930E2FA20}">
  <sheetPr codeName="Sheet6">
    <tabColor rgb="FF3CAEA3"/>
  </sheetPr>
  <dimension ref="A1:Y150"/>
  <sheetViews>
    <sheetView showGridLines="0" showRowColHeaders="0" zoomScale="80" zoomScaleNormal="80" workbookViewId="0">
      <pane ySplit="7" topLeftCell="A8" activePane="bottomLeft" state="frozen"/>
      <selection pane="bottomLeft" activeCell="E9" sqref="E9"/>
    </sheetView>
  </sheetViews>
  <sheetFormatPr baseColWidth="10" defaultColWidth="0" defaultRowHeight="12.75" customHeight="1" zeroHeight="1"/>
  <cols>
    <col min="1" max="1" width="5.81640625" style="18" customWidth="1"/>
    <col min="2" max="2" width="13" style="18" customWidth="1"/>
    <col min="3" max="3" width="19.453125" style="18" customWidth="1"/>
    <col min="4" max="4" width="2.81640625" style="18" customWidth="1"/>
    <col min="5" max="5" width="29.453125" style="18" customWidth="1"/>
    <col min="6" max="6" width="3.453125" style="18" customWidth="1"/>
    <col min="7" max="7" width="13" style="18" customWidth="1"/>
    <col min="8" max="8" width="2.81640625" style="18" customWidth="1"/>
    <col min="9" max="9" width="29.453125" style="18" customWidth="1"/>
    <col min="10" max="10" width="3.453125" style="18" customWidth="1"/>
    <col min="11" max="11" width="13" style="18" customWidth="1"/>
    <col min="12" max="12" width="2.81640625" style="18" customWidth="1"/>
    <col min="13" max="13" width="29.453125" style="18" customWidth="1"/>
    <col min="14" max="14" width="28.54296875" style="18" customWidth="1"/>
    <col min="15" max="18" width="9.1796875" style="18" customWidth="1"/>
    <col min="19" max="19" width="2.1796875" style="18" customWidth="1"/>
    <col min="20" max="22" width="0" style="18" hidden="1" customWidth="1"/>
    <col min="23" max="16384" width="9.1796875" style="18" hidden="1"/>
  </cols>
  <sheetData>
    <row r="1" spans="2:15" ht="48" customHeight="1"/>
    <row r="2" spans="2:15" ht="15.5">
      <c r="B2" s="19"/>
      <c r="C2" s="19"/>
      <c r="D2" s="19"/>
      <c r="E2" s="19"/>
      <c r="F2" s="19"/>
      <c r="G2" s="19"/>
      <c r="H2" s="19"/>
      <c r="I2" s="19"/>
      <c r="J2" s="19"/>
      <c r="K2" s="19"/>
      <c r="L2" s="19"/>
      <c r="M2" s="19"/>
      <c r="N2" s="19"/>
      <c r="O2" s="19"/>
    </row>
    <row r="3" spans="2:15" ht="15.5">
      <c r="B3" s="19"/>
      <c r="C3" s="19"/>
      <c r="D3" s="19"/>
      <c r="E3" s="19"/>
      <c r="F3" s="19"/>
      <c r="G3" s="19"/>
      <c r="H3" s="19"/>
      <c r="I3" s="19"/>
      <c r="J3" s="19"/>
      <c r="K3" s="19"/>
      <c r="L3" s="19"/>
      <c r="M3" s="19"/>
      <c r="N3" s="19"/>
      <c r="O3" s="19"/>
    </row>
    <row r="4" spans="2:15" ht="15.5">
      <c r="B4" s="19"/>
      <c r="C4" s="19"/>
      <c r="D4" s="19"/>
      <c r="E4" s="19"/>
      <c r="F4" s="19"/>
      <c r="G4" s="19"/>
      <c r="H4" s="19"/>
      <c r="I4" s="19"/>
      <c r="J4" s="19"/>
      <c r="K4" s="19"/>
      <c r="L4" s="19"/>
      <c r="M4" s="19"/>
      <c r="N4" s="19"/>
      <c r="O4" s="19"/>
    </row>
    <row r="5" spans="2:15" ht="15.5">
      <c r="B5" s="19"/>
      <c r="C5" s="19"/>
      <c r="D5" s="19"/>
      <c r="E5" s="19"/>
      <c r="F5" s="19"/>
      <c r="G5" s="19"/>
      <c r="H5" s="19"/>
      <c r="I5" s="19"/>
      <c r="J5" s="19"/>
      <c r="K5" s="19"/>
      <c r="L5" s="19"/>
      <c r="M5" s="19"/>
      <c r="N5" s="19"/>
      <c r="O5" s="19"/>
    </row>
    <row r="6" spans="2:15" ht="15.5">
      <c r="B6" s="19"/>
      <c r="C6" s="19"/>
      <c r="D6" s="19"/>
      <c r="E6" s="19"/>
      <c r="F6" s="19"/>
      <c r="G6" s="19"/>
      <c r="H6" s="19"/>
      <c r="I6" s="19"/>
      <c r="J6" s="19"/>
      <c r="K6" s="19"/>
      <c r="L6" s="19"/>
      <c r="M6" s="19"/>
      <c r="N6" s="19"/>
      <c r="O6" s="19"/>
    </row>
    <row r="7" spans="2:15" ht="15.5">
      <c r="B7" s="19"/>
      <c r="C7" s="19"/>
      <c r="D7" s="19"/>
      <c r="E7" s="19"/>
      <c r="F7" s="19"/>
      <c r="G7" s="19"/>
      <c r="H7" s="19"/>
      <c r="I7" s="19"/>
      <c r="J7" s="19"/>
      <c r="K7" s="19"/>
      <c r="L7" s="19"/>
      <c r="M7" s="19"/>
      <c r="N7" s="19"/>
      <c r="O7" s="19"/>
    </row>
    <row r="8" spans="2:15" ht="15.5">
      <c r="B8" s="21"/>
      <c r="C8" s="21"/>
      <c r="D8" s="21"/>
      <c r="E8" s="21"/>
      <c r="F8" s="21"/>
      <c r="G8" s="21"/>
      <c r="H8" s="21"/>
      <c r="I8" s="21"/>
      <c r="J8" s="21"/>
      <c r="K8" s="21"/>
      <c r="L8" s="21"/>
      <c r="M8" s="21"/>
      <c r="N8" s="21"/>
      <c r="O8" s="21"/>
    </row>
    <row r="9" spans="2:15" ht="30" customHeight="1">
      <c r="B9" s="333" t="s">
        <v>112</v>
      </c>
      <c r="C9" s="333"/>
      <c r="D9" s="21"/>
      <c r="E9" s="23"/>
      <c r="F9" s="21"/>
      <c r="G9" s="137" t="s">
        <v>283</v>
      </c>
      <c r="H9" s="36"/>
      <c r="I9" s="23"/>
      <c r="J9" s="21"/>
      <c r="K9" s="137" t="s">
        <v>46</v>
      </c>
      <c r="L9" s="36"/>
      <c r="M9" s="23"/>
      <c r="N9" s="21"/>
      <c r="O9" s="21"/>
    </row>
    <row r="10" spans="2:15" ht="15.75" customHeight="1">
      <c r="B10" s="21"/>
      <c r="C10" s="21"/>
      <c r="D10" s="21"/>
      <c r="E10" s="138"/>
      <c r="F10" s="21"/>
      <c r="G10" s="138"/>
      <c r="H10" s="138"/>
      <c r="I10" s="139"/>
      <c r="J10" s="139"/>
      <c r="K10" s="139"/>
      <c r="L10" s="140"/>
      <c r="M10" s="141"/>
      <c r="N10" s="141"/>
      <c r="O10" s="21"/>
    </row>
    <row r="11" spans="2:15" ht="30" customHeight="1">
      <c r="B11" s="333"/>
      <c r="C11" s="333"/>
      <c r="D11" s="21"/>
      <c r="E11" s="23"/>
      <c r="F11" s="21"/>
      <c r="G11" s="137"/>
      <c r="H11" s="36"/>
      <c r="I11" s="23"/>
      <c r="J11" s="21"/>
      <c r="K11" s="137"/>
      <c r="L11" s="36"/>
      <c r="M11" s="23"/>
      <c r="N11" s="141"/>
      <c r="O11" s="21"/>
    </row>
    <row r="12" spans="2:15" ht="15.75" customHeight="1">
      <c r="B12" s="21"/>
      <c r="C12" s="142"/>
      <c r="D12" s="21"/>
      <c r="E12" s="143"/>
      <c r="F12" s="143"/>
      <c r="G12" s="143"/>
      <c r="H12" s="21"/>
      <c r="I12" s="144"/>
      <c r="J12" s="144"/>
      <c r="K12" s="144"/>
      <c r="L12" s="145"/>
      <c r="M12" s="141"/>
      <c r="N12" s="141"/>
      <c r="O12" s="21"/>
    </row>
    <row r="13" spans="2:15" ht="30" customHeight="1">
      <c r="B13" s="333"/>
      <c r="C13" s="333"/>
      <c r="D13" s="21"/>
      <c r="E13" s="23"/>
      <c r="F13" s="21"/>
      <c r="G13" s="137"/>
      <c r="H13" s="36"/>
      <c r="I13" s="23"/>
      <c r="J13" s="21"/>
      <c r="K13" s="137"/>
      <c r="L13" s="36"/>
      <c r="M13" s="23"/>
      <c r="N13" s="138"/>
      <c r="O13" s="21"/>
    </row>
    <row r="14" spans="2:15" ht="15.75" customHeight="1">
      <c r="B14" s="36"/>
      <c r="C14" s="36"/>
      <c r="D14" s="21"/>
      <c r="E14" s="146"/>
      <c r="F14" s="21"/>
      <c r="G14" s="146"/>
      <c r="H14" s="146"/>
      <c r="I14" s="147"/>
      <c r="J14" s="147"/>
      <c r="K14" s="147"/>
      <c r="L14" s="147"/>
      <c r="M14" s="141"/>
      <c r="N14" s="141"/>
      <c r="O14" s="21"/>
    </row>
    <row r="15" spans="2:15" ht="30" customHeight="1">
      <c r="B15" s="333"/>
      <c r="C15" s="333"/>
      <c r="D15" s="21"/>
      <c r="E15" s="23"/>
      <c r="F15" s="21"/>
      <c r="G15" s="137"/>
      <c r="H15" s="36"/>
      <c r="I15" s="23"/>
      <c r="J15" s="21"/>
      <c r="K15" s="137"/>
      <c r="L15" s="36"/>
      <c r="M15" s="23"/>
      <c r="N15" s="141"/>
      <c r="O15" s="21"/>
    </row>
    <row r="16" spans="2:15" ht="15.75" customHeight="1">
      <c r="B16" s="21"/>
      <c r="C16" s="22"/>
      <c r="D16" s="21"/>
      <c r="E16" s="148"/>
      <c r="F16" s="21"/>
      <c r="G16" s="21"/>
      <c r="H16" s="21"/>
      <c r="I16" s="21"/>
      <c r="J16" s="21"/>
      <c r="K16" s="21"/>
      <c r="L16" s="21"/>
      <c r="M16" s="141"/>
      <c r="N16" s="141"/>
      <c r="O16" s="21"/>
    </row>
    <row r="17" spans="2:25" ht="30" customHeight="1">
      <c r="B17" s="333"/>
      <c r="C17" s="333"/>
      <c r="D17" s="21"/>
      <c r="E17" s="23"/>
      <c r="F17" s="21"/>
      <c r="G17" s="137"/>
      <c r="H17" s="36"/>
      <c r="I17" s="23"/>
      <c r="J17" s="21"/>
      <c r="K17" s="137"/>
      <c r="L17" s="36"/>
      <c r="M17" s="23"/>
      <c r="N17" s="141"/>
      <c r="O17" s="21"/>
    </row>
    <row r="18" spans="2:25" ht="15.75" customHeight="1">
      <c r="B18" s="21"/>
      <c r="C18" s="22"/>
      <c r="D18" s="21"/>
      <c r="E18" s="148"/>
      <c r="F18" s="21"/>
      <c r="G18" s="21"/>
      <c r="H18" s="21"/>
      <c r="I18" s="21"/>
      <c r="J18" s="21"/>
      <c r="K18" s="21"/>
      <c r="L18" s="21"/>
      <c r="M18" s="138"/>
      <c r="N18" s="138"/>
      <c r="O18" s="21"/>
    </row>
    <row r="19" spans="2:25" ht="30" customHeight="1">
      <c r="B19" s="333"/>
      <c r="C19" s="333"/>
      <c r="D19" s="21"/>
      <c r="E19" s="23"/>
      <c r="F19" s="21"/>
      <c r="G19" s="137"/>
      <c r="H19" s="36"/>
      <c r="I19" s="23"/>
      <c r="J19" s="21"/>
      <c r="K19" s="137"/>
      <c r="L19" s="36"/>
      <c r="M19" s="23"/>
      <c r="N19" s="21"/>
      <c r="O19" s="21"/>
    </row>
    <row r="20" spans="2:25" ht="15.75" customHeight="1">
      <c r="B20" s="21"/>
      <c r="C20" s="142"/>
      <c r="D20" s="21"/>
      <c r="E20" s="143"/>
      <c r="F20" s="143"/>
      <c r="G20" s="143"/>
      <c r="H20" s="22"/>
      <c r="I20" s="21"/>
      <c r="J20" s="21"/>
      <c r="K20" s="21"/>
      <c r="L20" s="21"/>
      <c r="M20" s="141"/>
      <c r="N20" s="141"/>
      <c r="O20" s="21"/>
    </row>
    <row r="21" spans="2:25" ht="30" customHeight="1">
      <c r="B21" s="333"/>
      <c r="C21" s="333"/>
      <c r="D21" s="21"/>
      <c r="E21" s="23"/>
      <c r="F21" s="21"/>
      <c r="G21" s="137"/>
      <c r="H21" s="36"/>
      <c r="I21" s="23"/>
      <c r="J21" s="21"/>
      <c r="K21" s="137"/>
      <c r="L21" s="36"/>
      <c r="M21" s="23"/>
      <c r="N21" s="141"/>
      <c r="O21" s="21"/>
    </row>
    <row r="22" spans="2:25" ht="15.75" customHeight="1">
      <c r="B22" s="21"/>
      <c r="C22" s="21"/>
      <c r="D22" s="21"/>
      <c r="E22" s="141"/>
      <c r="F22" s="21"/>
      <c r="G22" s="21"/>
      <c r="H22" s="21"/>
      <c r="I22" s="21"/>
      <c r="J22" s="21"/>
      <c r="K22" s="21"/>
      <c r="L22" s="21"/>
      <c r="M22" s="141"/>
      <c r="N22" s="141"/>
      <c r="O22" s="21"/>
    </row>
    <row r="23" spans="2:25" ht="31.5" customHeight="1">
      <c r="B23" s="21"/>
      <c r="C23" s="21"/>
      <c r="D23" s="21"/>
      <c r="E23" s="141"/>
      <c r="F23" s="21"/>
      <c r="G23" s="21"/>
      <c r="H23" s="21"/>
      <c r="I23" s="21"/>
      <c r="J23" s="21"/>
      <c r="K23" s="21"/>
      <c r="L23" s="21"/>
      <c r="M23" s="141"/>
      <c r="N23" s="141"/>
      <c r="O23" s="21"/>
    </row>
    <row r="24" spans="2:25" ht="30" customHeight="1">
      <c r="B24" s="21"/>
      <c r="C24" s="21"/>
      <c r="D24" s="21"/>
      <c r="E24" s="141"/>
      <c r="F24" s="21"/>
      <c r="G24" s="21"/>
      <c r="H24" s="21"/>
      <c r="I24" s="21"/>
      <c r="J24" s="21"/>
      <c r="K24" s="21"/>
      <c r="L24" s="21"/>
      <c r="M24" s="141"/>
      <c r="N24" s="141"/>
      <c r="O24" s="21"/>
    </row>
    <row r="25" spans="2:25" ht="15.5">
      <c r="B25" s="21"/>
      <c r="C25" s="21"/>
      <c r="D25" s="21"/>
      <c r="E25" s="21"/>
      <c r="F25" s="21"/>
      <c r="G25" s="21"/>
      <c r="H25" s="21"/>
      <c r="I25" s="21"/>
      <c r="J25" s="21"/>
      <c r="K25" s="21"/>
      <c r="L25" s="21"/>
      <c r="M25" s="21"/>
      <c r="N25" s="21"/>
      <c r="O25" s="21"/>
    </row>
    <row r="26" spans="2:25" ht="30" customHeight="1">
      <c r="B26" s="149"/>
      <c r="C26" s="149"/>
      <c r="D26" s="21"/>
      <c r="E26" s="150"/>
      <c r="F26" s="21"/>
      <c r="G26" s="29"/>
      <c r="H26" s="151"/>
      <c r="I26" s="26"/>
      <c r="J26" s="26"/>
      <c r="K26" s="26"/>
      <c r="L26" s="26"/>
      <c r="M26" s="152"/>
      <c r="N26" s="152"/>
      <c r="O26" s="21"/>
      <c r="Q26" s="28"/>
      <c r="R26" s="35"/>
      <c r="S26" s="35"/>
      <c r="T26" s="35"/>
      <c r="U26" s="35"/>
      <c r="V26" s="35"/>
      <c r="W26" s="35"/>
      <c r="X26" s="35"/>
      <c r="Y26" s="35"/>
    </row>
    <row r="27" spans="2:25" ht="15.75" customHeight="1">
      <c r="B27" s="21"/>
      <c r="C27" s="22"/>
      <c r="D27" s="21"/>
      <c r="E27" s="21"/>
      <c r="F27" s="21"/>
      <c r="G27" s="29"/>
      <c r="H27" s="26"/>
      <c r="I27" s="26"/>
      <c r="J27" s="26"/>
      <c r="K27" s="26"/>
      <c r="L27" s="26"/>
      <c r="M27" s="30"/>
      <c r="N27" s="30"/>
      <c r="O27" s="21"/>
      <c r="Q27" s="28"/>
      <c r="R27" s="35"/>
      <c r="S27" s="35"/>
      <c r="T27" s="35"/>
      <c r="U27" s="35"/>
      <c r="V27" s="35"/>
      <c r="W27" s="35"/>
      <c r="X27" s="35"/>
      <c r="Y27" s="35"/>
    </row>
    <row r="28" spans="2:25" ht="60" customHeight="1">
      <c r="B28" s="334"/>
      <c r="C28" s="334"/>
      <c r="D28" s="334"/>
      <c r="E28" s="334"/>
      <c r="F28" s="334"/>
      <c r="G28" s="334"/>
      <c r="H28" s="334"/>
      <c r="I28" s="334"/>
      <c r="J28" s="334"/>
      <c r="K28" s="334"/>
      <c r="L28" s="334"/>
      <c r="M28" s="334"/>
      <c r="N28" s="334"/>
      <c r="O28" s="334"/>
      <c r="Q28" s="28"/>
      <c r="R28" s="35"/>
      <c r="S28" s="35"/>
      <c r="T28" s="35"/>
      <c r="U28" s="35"/>
      <c r="V28" s="35"/>
      <c r="W28" s="35"/>
      <c r="X28" s="35"/>
      <c r="Y28" s="35"/>
    </row>
    <row r="29" spans="2:25" ht="22.5" customHeight="1">
      <c r="B29" s="321"/>
      <c r="C29" s="321"/>
      <c r="D29" s="122"/>
      <c r="E29" s="322"/>
      <c r="F29" s="322"/>
      <c r="G29" s="322"/>
      <c r="H29" s="322"/>
      <c r="I29" s="322"/>
      <c r="J29" s="124"/>
      <c r="K29" s="124"/>
      <c r="L29" s="123"/>
      <c r="M29" s="124"/>
      <c r="N29" s="124"/>
      <c r="O29" s="125"/>
      <c r="Q29" s="28" t="s">
        <v>25</v>
      </c>
      <c r="R29" s="318" t="s">
        <v>27</v>
      </c>
      <c r="S29" s="318"/>
      <c r="T29" s="318"/>
      <c r="U29" s="318"/>
      <c r="V29" s="318"/>
      <c r="W29" s="318"/>
      <c r="X29" s="318"/>
      <c r="Y29" s="318"/>
    </row>
    <row r="30" spans="2:25" ht="87.75" customHeight="1">
      <c r="B30" s="319"/>
      <c r="C30" s="319"/>
      <c r="D30" s="126"/>
      <c r="E30" s="320"/>
      <c r="F30" s="320"/>
      <c r="G30" s="320"/>
      <c r="H30" s="320"/>
      <c r="I30" s="320"/>
      <c r="J30" s="153"/>
      <c r="K30" s="153"/>
      <c r="L30" s="123"/>
      <c r="M30" s="127"/>
      <c r="N30" s="127"/>
      <c r="O30" s="122"/>
      <c r="Q30" s="28"/>
      <c r="R30" s="35"/>
      <c r="S30" s="35"/>
      <c r="T30" s="35"/>
      <c r="U30" s="35"/>
      <c r="V30" s="35"/>
      <c r="W30" s="35"/>
      <c r="X30" s="35"/>
      <c r="Y30" s="35"/>
    </row>
    <row r="31" spans="2:25" ht="87" customHeight="1">
      <c r="B31" s="319"/>
      <c r="C31" s="319"/>
      <c r="D31" s="126"/>
      <c r="E31" s="320"/>
      <c r="F31" s="320"/>
      <c r="G31" s="320"/>
      <c r="H31" s="320"/>
      <c r="I31" s="320"/>
      <c r="J31" s="153"/>
      <c r="K31" s="153"/>
      <c r="L31" s="128"/>
      <c r="M31" s="128"/>
      <c r="N31" s="128"/>
      <c r="O31" s="128"/>
      <c r="Q31" s="28"/>
      <c r="R31" s="35"/>
      <c r="S31" s="35"/>
      <c r="T31" s="35"/>
      <c r="U31" s="35"/>
      <c r="V31" s="35"/>
      <c r="W31" s="35"/>
      <c r="X31" s="35"/>
      <c r="Y31" s="35"/>
    </row>
    <row r="32" spans="2:25" ht="71.25" customHeight="1">
      <c r="B32" s="319"/>
      <c r="C32" s="319"/>
      <c r="D32" s="126"/>
      <c r="E32" s="320"/>
      <c r="F32" s="320"/>
      <c r="G32" s="320"/>
      <c r="H32" s="320"/>
      <c r="I32" s="320"/>
      <c r="J32" s="153"/>
      <c r="K32" s="153"/>
      <c r="L32" s="122"/>
      <c r="M32" s="122"/>
      <c r="N32" s="122"/>
      <c r="O32" s="122"/>
      <c r="Q32" s="31" t="s">
        <v>21</v>
      </c>
      <c r="R32" s="318" t="s">
        <v>28</v>
      </c>
      <c r="S32" s="318"/>
      <c r="T32" s="318"/>
      <c r="U32" s="318"/>
      <c r="V32" s="318"/>
      <c r="W32" s="318"/>
      <c r="X32" s="318"/>
      <c r="Y32" s="318"/>
    </row>
    <row r="33" spans="2:25" ht="86.25" customHeight="1">
      <c r="B33" s="319"/>
      <c r="C33" s="319"/>
      <c r="D33" s="126"/>
      <c r="E33" s="320"/>
      <c r="F33" s="320"/>
      <c r="G33" s="320"/>
      <c r="H33" s="320"/>
      <c r="I33" s="320"/>
      <c r="J33" s="153"/>
      <c r="K33" s="153"/>
      <c r="L33" s="122"/>
      <c r="M33" s="122"/>
      <c r="N33" s="122"/>
      <c r="O33" s="122"/>
      <c r="Q33" s="31" t="s">
        <v>22</v>
      </c>
      <c r="R33" s="318" t="s">
        <v>31</v>
      </c>
      <c r="S33" s="318"/>
      <c r="T33" s="318"/>
      <c r="U33" s="318"/>
      <c r="V33" s="318"/>
      <c r="W33" s="318"/>
      <c r="X33" s="318"/>
      <c r="Y33" s="318"/>
    </row>
    <row r="34" spans="2:25" ht="83.25" customHeight="1">
      <c r="B34" s="319"/>
      <c r="C34" s="319"/>
      <c r="D34" s="126"/>
      <c r="E34" s="320"/>
      <c r="F34" s="320"/>
      <c r="G34" s="320"/>
      <c r="H34" s="320"/>
      <c r="I34" s="320"/>
      <c r="J34" s="153"/>
      <c r="K34" s="153"/>
      <c r="L34" s="122"/>
      <c r="M34" s="129"/>
      <c r="N34" s="129"/>
      <c r="O34" s="122"/>
      <c r="Q34" s="31" t="s">
        <v>23</v>
      </c>
      <c r="R34" s="318" t="s">
        <v>29</v>
      </c>
      <c r="S34" s="318"/>
      <c r="T34" s="318"/>
      <c r="U34" s="318"/>
      <c r="V34" s="318"/>
      <c r="W34" s="318"/>
      <c r="X34" s="318"/>
      <c r="Y34" s="318"/>
    </row>
    <row r="35" spans="2:25" ht="45.75" customHeight="1">
      <c r="B35" s="122"/>
      <c r="C35" s="122"/>
      <c r="D35" s="122"/>
      <c r="E35" s="130"/>
      <c r="F35" s="122"/>
      <c r="G35" s="122"/>
      <c r="H35" s="122"/>
      <c r="I35" s="122"/>
      <c r="J35" s="122"/>
      <c r="K35" s="122"/>
      <c r="L35" s="122"/>
      <c r="M35" s="129"/>
      <c r="N35" s="129"/>
      <c r="O35" s="122"/>
      <c r="Q35" s="31"/>
      <c r="R35" s="35"/>
      <c r="S35" s="35"/>
      <c r="T35" s="35"/>
      <c r="U35" s="35"/>
      <c r="V35" s="35"/>
      <c r="W35" s="35"/>
      <c r="X35" s="35"/>
      <c r="Y35" s="35"/>
    </row>
    <row r="36" spans="2:25" ht="15.75" customHeight="1">
      <c r="B36" s="122"/>
      <c r="C36" s="122"/>
      <c r="D36" s="122"/>
      <c r="E36" s="130"/>
      <c r="F36" s="122"/>
      <c r="G36" s="122"/>
      <c r="H36" s="122"/>
      <c r="I36" s="122"/>
      <c r="J36" s="122"/>
      <c r="K36" s="122"/>
      <c r="L36" s="122"/>
      <c r="M36" s="129"/>
      <c r="N36" s="129"/>
      <c r="O36" s="122"/>
      <c r="Q36" s="31"/>
      <c r="R36" s="35"/>
      <c r="S36" s="35"/>
      <c r="T36" s="35"/>
      <c r="U36" s="35"/>
      <c r="V36" s="35"/>
      <c r="W36" s="35"/>
      <c r="X36" s="35"/>
      <c r="Y36" s="35"/>
    </row>
    <row r="37" spans="2:25" ht="22.5" customHeight="1">
      <c r="B37" s="321"/>
      <c r="C37" s="321"/>
      <c r="D37" s="122"/>
      <c r="E37" s="322"/>
      <c r="F37" s="322"/>
      <c r="G37" s="322"/>
      <c r="H37" s="322"/>
      <c r="I37" s="322"/>
      <c r="J37" s="124"/>
      <c r="K37" s="124"/>
      <c r="L37" s="123"/>
      <c r="M37" s="124"/>
      <c r="N37" s="124"/>
      <c r="O37" s="125"/>
      <c r="Q37" s="28" t="s">
        <v>25</v>
      </c>
      <c r="R37" s="318" t="s">
        <v>27</v>
      </c>
      <c r="S37" s="318"/>
      <c r="T37" s="318"/>
      <c r="U37" s="318"/>
      <c r="V37" s="318"/>
      <c r="W37" s="318"/>
      <c r="X37" s="318"/>
      <c r="Y37" s="318"/>
    </row>
    <row r="38" spans="2:25" ht="87.75" customHeight="1">
      <c r="B38" s="319"/>
      <c r="C38" s="319"/>
      <c r="D38" s="126"/>
      <c r="E38" s="320"/>
      <c r="F38" s="320"/>
      <c r="G38" s="320"/>
      <c r="H38" s="320"/>
      <c r="I38" s="320"/>
      <c r="J38" s="153"/>
      <c r="K38" s="153"/>
      <c r="L38" s="123"/>
      <c r="M38" s="127"/>
      <c r="N38" s="127"/>
      <c r="O38" s="122"/>
      <c r="Q38" s="28"/>
      <c r="R38" s="35"/>
      <c r="S38" s="35"/>
      <c r="T38" s="35"/>
      <c r="U38" s="35"/>
      <c r="V38" s="35"/>
      <c r="W38" s="35"/>
      <c r="X38" s="35"/>
      <c r="Y38" s="35"/>
    </row>
    <row r="39" spans="2:25" ht="87" customHeight="1">
      <c r="B39" s="319"/>
      <c r="C39" s="319"/>
      <c r="D39" s="126"/>
      <c r="E39" s="320"/>
      <c r="F39" s="320"/>
      <c r="G39" s="320"/>
      <c r="H39" s="320"/>
      <c r="I39" s="320"/>
      <c r="J39" s="153"/>
      <c r="K39" s="153"/>
      <c r="L39" s="128"/>
      <c r="M39" s="128"/>
      <c r="N39" s="128"/>
      <c r="O39" s="128"/>
      <c r="Q39" s="28"/>
      <c r="R39" s="35"/>
      <c r="S39" s="35"/>
      <c r="T39" s="35"/>
      <c r="U39" s="35"/>
      <c r="V39" s="35"/>
      <c r="W39" s="35"/>
      <c r="X39" s="35"/>
      <c r="Y39" s="35"/>
    </row>
    <row r="40" spans="2:25" ht="71.25" customHeight="1">
      <c r="B40" s="319"/>
      <c r="C40" s="319"/>
      <c r="D40" s="126"/>
      <c r="E40" s="320"/>
      <c r="F40" s="320"/>
      <c r="G40" s="320"/>
      <c r="H40" s="320"/>
      <c r="I40" s="320"/>
      <c r="J40" s="153"/>
      <c r="K40" s="153"/>
      <c r="L40" s="122"/>
      <c r="M40" s="122"/>
      <c r="N40" s="122"/>
      <c r="O40" s="122"/>
      <c r="Q40" s="31" t="s">
        <v>21</v>
      </c>
      <c r="R40" s="318" t="s">
        <v>28</v>
      </c>
      <c r="S40" s="318"/>
      <c r="T40" s="318"/>
      <c r="U40" s="318"/>
      <c r="V40" s="318"/>
      <c r="W40" s="318"/>
      <c r="X40" s="318"/>
      <c r="Y40" s="318"/>
    </row>
    <row r="41" spans="2:25" ht="86.25" customHeight="1">
      <c r="B41" s="319"/>
      <c r="C41" s="319"/>
      <c r="D41" s="126"/>
      <c r="E41" s="320"/>
      <c r="F41" s="320"/>
      <c r="G41" s="320"/>
      <c r="H41" s="320"/>
      <c r="I41" s="320"/>
      <c r="J41" s="153"/>
      <c r="K41" s="153"/>
      <c r="L41" s="122"/>
      <c r="M41" s="122"/>
      <c r="N41" s="122"/>
      <c r="O41" s="122"/>
      <c r="Q41" s="31" t="s">
        <v>22</v>
      </c>
      <c r="R41" s="318" t="s">
        <v>31</v>
      </c>
      <c r="S41" s="318"/>
      <c r="T41" s="318"/>
      <c r="U41" s="318"/>
      <c r="V41" s="318"/>
      <c r="W41" s="318"/>
      <c r="X41" s="318"/>
      <c r="Y41" s="318"/>
    </row>
    <row r="42" spans="2:25" ht="83.25" customHeight="1">
      <c r="B42" s="319"/>
      <c r="C42" s="319"/>
      <c r="D42" s="126"/>
      <c r="E42" s="320"/>
      <c r="F42" s="320"/>
      <c r="G42" s="320"/>
      <c r="H42" s="320"/>
      <c r="I42" s="320"/>
      <c r="J42" s="153"/>
      <c r="K42" s="153"/>
      <c r="L42" s="122"/>
      <c r="M42" s="129"/>
      <c r="N42" s="129"/>
      <c r="O42" s="122"/>
      <c r="Q42" s="31" t="s">
        <v>23</v>
      </c>
      <c r="R42" s="318" t="s">
        <v>29</v>
      </c>
      <c r="S42" s="318"/>
      <c r="T42" s="318"/>
      <c r="U42" s="318"/>
      <c r="V42" s="318"/>
      <c r="W42" s="318"/>
      <c r="X42" s="318"/>
      <c r="Y42" s="318"/>
    </row>
    <row r="43" spans="2:25" ht="15.75" customHeight="1">
      <c r="B43" s="122"/>
      <c r="C43" s="122"/>
      <c r="D43" s="122"/>
      <c r="E43" s="130"/>
      <c r="F43" s="122"/>
      <c r="G43" s="122"/>
      <c r="H43" s="122"/>
      <c r="I43" s="122"/>
      <c r="J43" s="122"/>
      <c r="K43" s="122"/>
      <c r="L43" s="122"/>
      <c r="M43" s="122"/>
      <c r="N43" s="122"/>
      <c r="O43" s="122"/>
      <c r="Q43" s="31"/>
      <c r="R43" s="35"/>
      <c r="S43" s="35"/>
      <c r="T43" s="35"/>
      <c r="U43" s="35"/>
      <c r="V43" s="35"/>
      <c r="W43" s="35"/>
      <c r="X43" s="35"/>
      <c r="Y43" s="35"/>
    </row>
    <row r="44" spans="2:25" ht="15.75" customHeight="1">
      <c r="B44" s="122"/>
      <c r="C44" s="122"/>
      <c r="D44" s="122"/>
      <c r="E44" s="122"/>
      <c r="F44" s="122"/>
      <c r="G44" s="122"/>
      <c r="H44" s="122"/>
      <c r="I44" s="122"/>
      <c r="J44" s="122"/>
      <c r="K44" s="122"/>
      <c r="L44" s="122"/>
      <c r="M44" s="122"/>
      <c r="N44" s="122"/>
      <c r="O44" s="122"/>
      <c r="Q44" s="31"/>
      <c r="R44" s="35"/>
      <c r="S44" s="35"/>
      <c r="T44" s="35"/>
      <c r="U44" s="35"/>
      <c r="V44" s="35"/>
      <c r="W44" s="35"/>
      <c r="X44" s="35"/>
      <c r="Y44" s="35"/>
    </row>
    <row r="45" spans="2:25" ht="15.75" customHeight="1">
      <c r="B45" s="131"/>
      <c r="C45" s="131"/>
      <c r="D45" s="122"/>
      <c r="E45" s="130"/>
      <c r="F45" s="122"/>
      <c r="G45" s="122"/>
      <c r="H45" s="122"/>
      <c r="I45" s="122"/>
      <c r="J45" s="122"/>
      <c r="K45" s="122"/>
      <c r="L45" s="122"/>
      <c r="M45" s="122"/>
      <c r="N45" s="122"/>
      <c r="O45" s="122"/>
      <c r="Q45" s="31"/>
      <c r="R45" s="35"/>
      <c r="S45" s="35"/>
      <c r="T45" s="35"/>
      <c r="U45" s="35"/>
      <c r="V45" s="35"/>
      <c r="W45" s="35"/>
      <c r="X45" s="35"/>
      <c r="Y45" s="35"/>
    </row>
    <row r="46" spans="2:25" ht="15.75" customHeight="1">
      <c r="B46" s="131"/>
      <c r="C46" s="131"/>
      <c r="D46" s="122"/>
      <c r="E46" s="130"/>
      <c r="F46" s="122"/>
      <c r="G46" s="122"/>
      <c r="H46" s="122"/>
      <c r="I46" s="122"/>
      <c r="J46" s="122"/>
      <c r="K46" s="122"/>
      <c r="L46" s="122"/>
      <c r="M46" s="129"/>
      <c r="N46" s="129"/>
      <c r="O46" s="122"/>
      <c r="Q46" s="31"/>
      <c r="R46" s="35"/>
      <c r="S46" s="35"/>
      <c r="T46" s="35"/>
      <c r="U46" s="35"/>
      <c r="V46" s="35"/>
      <c r="W46" s="35"/>
      <c r="X46" s="35"/>
      <c r="Y46" s="35"/>
    </row>
    <row r="47" spans="2:25" ht="15.75" customHeight="1">
      <c r="B47" s="122"/>
      <c r="C47" s="132"/>
      <c r="D47" s="122"/>
      <c r="E47" s="130"/>
      <c r="F47" s="122"/>
      <c r="G47" s="122"/>
      <c r="H47" s="122"/>
      <c r="I47" s="122"/>
      <c r="J47" s="122"/>
      <c r="K47" s="122"/>
      <c r="L47" s="122"/>
      <c r="M47" s="129"/>
      <c r="N47" s="129"/>
      <c r="O47" s="122"/>
      <c r="Q47" s="31"/>
      <c r="R47" s="35"/>
      <c r="S47" s="35"/>
      <c r="T47" s="35"/>
      <c r="U47" s="35"/>
      <c r="V47" s="35"/>
      <c r="W47" s="35"/>
      <c r="X47" s="35"/>
      <c r="Y47" s="35"/>
    </row>
    <row r="48" spans="2:25" ht="48.75" customHeight="1">
      <c r="B48" s="122"/>
      <c r="C48" s="122"/>
      <c r="D48" s="122"/>
      <c r="E48" s="130"/>
      <c r="F48" s="122"/>
      <c r="G48" s="122"/>
      <c r="H48" s="122"/>
      <c r="I48" s="122"/>
      <c r="J48" s="122"/>
      <c r="K48" s="122"/>
      <c r="L48" s="122"/>
      <c r="M48" s="129"/>
      <c r="N48" s="129"/>
      <c r="O48" s="122"/>
      <c r="Q48" s="31"/>
      <c r="R48" s="35"/>
      <c r="S48" s="35"/>
      <c r="T48" s="35"/>
      <c r="U48" s="35"/>
      <c r="V48" s="35"/>
      <c r="W48" s="35"/>
      <c r="X48" s="35"/>
      <c r="Y48" s="35"/>
    </row>
    <row r="49" spans="2:25" ht="15" customHeight="1">
      <c r="B49" s="122"/>
      <c r="C49" s="122"/>
      <c r="D49" s="122"/>
      <c r="E49" s="130"/>
      <c r="F49" s="122"/>
      <c r="G49" s="122"/>
      <c r="H49" s="122"/>
      <c r="I49" s="122"/>
      <c r="J49" s="122"/>
      <c r="K49" s="122"/>
      <c r="L49" s="122"/>
      <c r="M49" s="122"/>
      <c r="N49" s="122"/>
      <c r="O49" s="122"/>
      <c r="Q49" s="31"/>
      <c r="R49" s="35"/>
      <c r="S49" s="35"/>
      <c r="T49" s="35"/>
      <c r="U49" s="35"/>
      <c r="V49" s="35"/>
      <c r="W49" s="35"/>
      <c r="X49" s="35"/>
      <c r="Y49" s="35"/>
    </row>
    <row r="50" spans="2:25" ht="30" customHeight="1">
      <c r="B50" s="122"/>
      <c r="C50" s="122"/>
      <c r="D50" s="122"/>
      <c r="E50" s="122"/>
      <c r="F50" s="122"/>
      <c r="G50" s="122"/>
      <c r="H50" s="122"/>
      <c r="I50" s="122"/>
      <c r="J50" s="122"/>
      <c r="K50" s="122"/>
      <c r="L50" s="122"/>
      <c r="M50" s="122"/>
      <c r="N50" s="122"/>
      <c r="O50" s="122"/>
      <c r="Q50" s="31"/>
      <c r="R50" s="35"/>
      <c r="S50" s="35"/>
      <c r="T50" s="35"/>
      <c r="U50" s="35"/>
      <c r="V50" s="35"/>
      <c r="W50" s="35"/>
      <c r="X50" s="35"/>
      <c r="Y50" s="35"/>
    </row>
    <row r="51" spans="2:25" ht="60" customHeight="1">
      <c r="B51" s="128"/>
      <c r="C51" s="128"/>
      <c r="D51" s="128"/>
      <c r="E51" s="128"/>
      <c r="F51" s="128"/>
      <c r="G51" s="128"/>
      <c r="H51" s="128"/>
      <c r="I51" s="128"/>
      <c r="J51" s="128"/>
      <c r="K51" s="128"/>
      <c r="L51" s="128"/>
      <c r="M51" s="128"/>
      <c r="N51" s="128"/>
      <c r="O51" s="128"/>
      <c r="Q51" s="31"/>
      <c r="R51" s="35"/>
      <c r="S51" s="35"/>
      <c r="T51" s="35"/>
      <c r="U51" s="35"/>
      <c r="V51" s="35"/>
      <c r="W51" s="35"/>
      <c r="X51" s="35"/>
      <c r="Y51" s="35"/>
    </row>
    <row r="52" spans="2:25" ht="15" customHeight="1">
      <c r="B52" s="133"/>
      <c r="C52" s="133"/>
      <c r="D52" s="133"/>
      <c r="E52" s="133"/>
      <c r="F52" s="133"/>
      <c r="G52" s="133"/>
      <c r="H52" s="133"/>
      <c r="I52" s="133"/>
      <c r="J52" s="133"/>
      <c r="K52" s="133"/>
      <c r="L52" s="133"/>
      <c r="M52" s="133"/>
      <c r="N52" s="133"/>
      <c r="O52" s="133"/>
      <c r="Q52" s="31"/>
      <c r="R52" s="35"/>
      <c r="S52" s="35"/>
      <c r="T52" s="35"/>
      <c r="U52" s="35"/>
      <c r="V52" s="35"/>
      <c r="W52" s="35"/>
      <c r="X52" s="35"/>
      <c r="Y52" s="35"/>
    </row>
    <row r="53" spans="2:25" ht="30" customHeight="1">
      <c r="B53" s="134"/>
      <c r="C53" s="134"/>
      <c r="D53" s="133"/>
      <c r="E53" s="135"/>
      <c r="F53" s="133"/>
      <c r="G53" s="133"/>
      <c r="H53" s="133"/>
      <c r="I53" s="133"/>
      <c r="J53" s="133"/>
      <c r="K53" s="133"/>
      <c r="L53" s="133"/>
      <c r="M53" s="136"/>
      <c r="N53" s="136"/>
      <c r="O53" s="133"/>
      <c r="Q53" s="31"/>
      <c r="R53" s="35"/>
      <c r="S53" s="35"/>
      <c r="T53" s="35"/>
      <c r="U53" s="35"/>
      <c r="V53" s="35"/>
      <c r="W53" s="35"/>
      <c r="X53" s="35"/>
      <c r="Y53" s="35"/>
    </row>
    <row r="54" spans="2:25" ht="15" customHeight="1">
      <c r="B54" s="133"/>
      <c r="C54" s="133"/>
      <c r="D54" s="133"/>
      <c r="E54" s="133"/>
      <c r="F54" s="133"/>
      <c r="G54" s="133"/>
      <c r="H54" s="133"/>
      <c r="I54" s="133"/>
      <c r="J54" s="133"/>
      <c r="K54" s="133"/>
      <c r="L54" s="133"/>
      <c r="M54" s="133"/>
      <c r="N54" s="133"/>
      <c r="O54" s="133"/>
      <c r="Q54" s="31"/>
      <c r="R54" s="35"/>
      <c r="S54" s="35"/>
      <c r="T54" s="35"/>
      <c r="U54" s="35"/>
      <c r="V54" s="35"/>
      <c r="W54" s="35"/>
      <c r="X54" s="35"/>
      <c r="Y54" s="35"/>
    </row>
    <row r="55" spans="2:25" ht="30" customHeight="1">
      <c r="B55" s="134"/>
      <c r="C55" s="134"/>
      <c r="D55" s="133"/>
      <c r="E55" s="135"/>
      <c r="F55" s="133"/>
      <c r="G55" s="133"/>
      <c r="H55" s="133"/>
      <c r="I55" s="133"/>
      <c r="J55" s="133"/>
      <c r="K55" s="133"/>
      <c r="L55" s="133"/>
      <c r="M55" s="136"/>
      <c r="N55" s="136"/>
      <c r="O55" s="133"/>
      <c r="Q55" s="31"/>
      <c r="R55" s="35"/>
      <c r="S55" s="35"/>
      <c r="T55" s="35"/>
      <c r="U55" s="35"/>
      <c r="V55" s="35"/>
      <c r="W55" s="35"/>
      <c r="X55" s="35"/>
      <c r="Y55" s="35"/>
    </row>
    <row r="56" spans="2:25" ht="15" customHeight="1">
      <c r="B56" s="133"/>
      <c r="C56" s="133"/>
      <c r="D56" s="133"/>
      <c r="E56" s="133"/>
      <c r="F56" s="133"/>
      <c r="G56" s="133"/>
      <c r="H56" s="133"/>
      <c r="I56" s="133"/>
      <c r="J56" s="133"/>
      <c r="K56" s="133"/>
      <c r="L56" s="133"/>
      <c r="M56" s="133"/>
      <c r="N56" s="133"/>
      <c r="O56" s="133"/>
      <c r="Q56" s="31"/>
      <c r="R56" s="35"/>
      <c r="S56" s="35"/>
      <c r="T56" s="35"/>
      <c r="U56" s="35"/>
      <c r="V56" s="35"/>
      <c r="W56" s="35"/>
      <c r="X56" s="35"/>
      <c r="Y56" s="35"/>
    </row>
    <row r="57" spans="2:25" ht="30" customHeight="1">
      <c r="B57" s="134"/>
      <c r="C57" s="134"/>
      <c r="D57" s="133"/>
      <c r="E57" s="135"/>
      <c r="F57" s="133"/>
      <c r="G57" s="133"/>
      <c r="H57" s="133"/>
      <c r="I57" s="133"/>
      <c r="J57" s="133"/>
      <c r="K57" s="133"/>
      <c r="L57" s="133"/>
      <c r="M57" s="136"/>
      <c r="N57" s="136"/>
      <c r="O57" s="133"/>
      <c r="Q57" s="31"/>
      <c r="R57" s="35"/>
      <c r="S57" s="35"/>
      <c r="T57" s="35"/>
      <c r="U57" s="35"/>
      <c r="V57" s="35"/>
      <c r="W57" s="35"/>
      <c r="X57" s="35"/>
      <c r="Y57" s="35"/>
    </row>
    <row r="58" spans="2:25" ht="15" customHeight="1">
      <c r="B58" s="133"/>
      <c r="C58" s="133"/>
      <c r="D58" s="133"/>
      <c r="E58" s="133"/>
      <c r="F58" s="133"/>
      <c r="G58" s="133"/>
      <c r="H58" s="133"/>
      <c r="I58" s="133"/>
      <c r="J58" s="133"/>
      <c r="K58" s="133"/>
      <c r="L58" s="133"/>
      <c r="M58" s="133"/>
      <c r="N58" s="133"/>
      <c r="O58" s="133"/>
      <c r="Q58" s="31"/>
      <c r="R58" s="35"/>
      <c r="S58" s="35"/>
      <c r="T58" s="35"/>
      <c r="U58" s="35"/>
      <c r="V58" s="35"/>
      <c r="W58" s="35"/>
      <c r="X58" s="35"/>
      <c r="Y58" s="35"/>
    </row>
    <row r="59" spans="2:25" ht="15" customHeight="1">
      <c r="B59" s="133"/>
      <c r="C59" s="133"/>
      <c r="D59" s="133"/>
      <c r="E59" s="133"/>
      <c r="F59" s="133"/>
      <c r="G59" s="133"/>
      <c r="H59" s="133"/>
      <c r="I59" s="133"/>
      <c r="J59" s="133"/>
      <c r="K59" s="133"/>
      <c r="L59" s="133"/>
      <c r="M59" s="133"/>
      <c r="N59" s="133"/>
      <c r="O59" s="133"/>
      <c r="Q59" s="31"/>
      <c r="R59" s="35"/>
      <c r="S59" s="35"/>
      <c r="T59" s="35"/>
      <c r="U59" s="35"/>
      <c r="V59" s="35"/>
      <c r="W59" s="35"/>
      <c r="X59" s="35"/>
      <c r="Y59" s="35"/>
    </row>
    <row r="60" spans="2:25" ht="15" customHeight="1">
      <c r="B60" s="133"/>
      <c r="C60" s="133"/>
      <c r="D60" s="133"/>
      <c r="E60" s="133"/>
      <c r="F60" s="133"/>
      <c r="G60" s="133"/>
      <c r="H60" s="133"/>
      <c r="I60" s="133"/>
      <c r="J60" s="133"/>
      <c r="K60" s="133"/>
      <c r="L60" s="133"/>
      <c r="M60" s="133"/>
      <c r="N60" s="133"/>
      <c r="O60" s="133"/>
      <c r="Q60" s="31"/>
      <c r="R60" s="35"/>
      <c r="S60" s="35"/>
      <c r="T60" s="35"/>
      <c r="U60" s="35"/>
      <c r="V60" s="35"/>
      <c r="W60" s="35"/>
      <c r="X60" s="35"/>
      <c r="Y60" s="35"/>
    </row>
    <row r="61" spans="2:25" ht="15" customHeight="1">
      <c r="B61" s="133"/>
      <c r="C61" s="133"/>
      <c r="D61" s="133"/>
      <c r="E61" s="133"/>
      <c r="F61" s="133"/>
      <c r="G61" s="133"/>
      <c r="H61" s="133"/>
      <c r="I61" s="133"/>
      <c r="J61" s="133"/>
      <c r="K61" s="133"/>
      <c r="L61" s="133"/>
      <c r="M61" s="133"/>
      <c r="N61" s="133"/>
      <c r="O61" s="133"/>
      <c r="Q61" s="31"/>
      <c r="R61" s="35"/>
      <c r="S61" s="35"/>
      <c r="T61" s="35"/>
      <c r="U61" s="35"/>
      <c r="V61" s="35"/>
      <c r="W61" s="35"/>
      <c r="X61" s="35"/>
      <c r="Y61" s="35"/>
    </row>
    <row r="62" spans="2:25" ht="15" customHeight="1">
      <c r="B62" s="133"/>
      <c r="C62" s="133"/>
      <c r="D62" s="133"/>
      <c r="E62" s="133"/>
      <c r="F62" s="133"/>
      <c r="G62" s="133"/>
      <c r="H62" s="133"/>
      <c r="I62" s="133"/>
      <c r="J62" s="133"/>
      <c r="K62" s="133"/>
      <c r="L62" s="133"/>
      <c r="M62" s="133"/>
      <c r="N62" s="133"/>
      <c r="O62" s="133"/>
      <c r="Q62" s="31"/>
      <c r="R62" s="35"/>
      <c r="S62" s="35"/>
      <c r="T62" s="35"/>
      <c r="U62" s="35"/>
      <c r="V62" s="35"/>
      <c r="W62" s="35"/>
      <c r="X62" s="35"/>
      <c r="Y62" s="35"/>
    </row>
    <row r="63" spans="2:25" ht="15" customHeight="1">
      <c r="B63" s="133"/>
      <c r="C63" s="133"/>
      <c r="D63" s="133"/>
      <c r="E63" s="133"/>
      <c r="F63" s="133"/>
      <c r="G63" s="133"/>
      <c r="H63" s="133"/>
      <c r="I63" s="133"/>
      <c r="J63" s="133"/>
      <c r="K63" s="133"/>
      <c r="L63" s="133"/>
      <c r="M63" s="133"/>
      <c r="N63" s="133"/>
      <c r="O63" s="133"/>
      <c r="Q63" s="31"/>
      <c r="R63" s="35"/>
      <c r="S63" s="35"/>
      <c r="T63" s="35"/>
      <c r="U63" s="35"/>
      <c r="V63" s="35"/>
      <c r="W63" s="35"/>
      <c r="X63" s="35"/>
      <c r="Y63" s="35"/>
    </row>
    <row r="64" spans="2:25" ht="15" customHeight="1">
      <c r="B64" s="133"/>
      <c r="C64" s="133"/>
      <c r="D64" s="133"/>
      <c r="E64" s="133"/>
      <c r="F64" s="133"/>
      <c r="G64" s="133"/>
      <c r="H64" s="133"/>
      <c r="I64" s="133"/>
      <c r="J64" s="133"/>
      <c r="K64" s="133"/>
      <c r="L64" s="133"/>
      <c r="M64" s="133"/>
      <c r="N64" s="133"/>
      <c r="O64" s="133"/>
      <c r="Q64" s="31"/>
      <c r="R64" s="35"/>
      <c r="S64" s="35"/>
      <c r="T64" s="35"/>
      <c r="U64" s="35"/>
      <c r="V64" s="35"/>
      <c r="W64" s="35"/>
      <c r="X64" s="35"/>
      <c r="Y64" s="35"/>
    </row>
    <row r="65" spans="2:25" ht="15" customHeight="1">
      <c r="B65" s="133"/>
      <c r="C65" s="133"/>
      <c r="D65" s="133"/>
      <c r="E65" s="133"/>
      <c r="F65" s="133"/>
      <c r="G65" s="133"/>
      <c r="H65" s="133"/>
      <c r="I65" s="133"/>
      <c r="J65" s="133"/>
      <c r="K65" s="133"/>
      <c r="L65" s="133"/>
      <c r="M65" s="133"/>
      <c r="N65" s="133"/>
      <c r="O65" s="133"/>
      <c r="Q65" s="31"/>
      <c r="R65" s="35"/>
      <c r="S65" s="35"/>
      <c r="T65" s="35"/>
      <c r="U65" s="35"/>
      <c r="V65" s="35"/>
      <c r="W65" s="35"/>
      <c r="X65" s="35"/>
      <c r="Y65" s="35"/>
    </row>
    <row r="66" spans="2:25" ht="15.5">
      <c r="B66" s="133"/>
      <c r="C66" s="133"/>
      <c r="D66" s="133"/>
      <c r="E66" s="133"/>
      <c r="F66" s="133"/>
      <c r="G66" s="133"/>
      <c r="H66" s="133"/>
      <c r="I66" s="133"/>
      <c r="J66" s="133"/>
      <c r="K66" s="133"/>
      <c r="L66" s="133"/>
      <c r="M66" s="133"/>
      <c r="N66" s="133"/>
      <c r="O66" s="133"/>
    </row>
    <row r="67" spans="2:25" ht="15.5">
      <c r="B67" s="21"/>
      <c r="C67" s="21"/>
      <c r="D67" s="21"/>
      <c r="E67" s="21"/>
      <c r="F67" s="21"/>
      <c r="G67" s="21"/>
      <c r="H67" s="21"/>
      <c r="I67" s="21"/>
      <c r="J67" s="21"/>
      <c r="K67" s="21"/>
      <c r="L67" s="21"/>
      <c r="M67" s="21"/>
      <c r="N67" s="21"/>
      <c r="O67" s="21"/>
    </row>
    <row r="68" spans="2:25" ht="12.5"/>
    <row r="69" spans="2:25" ht="12.5"/>
    <row r="70" spans="2:25" ht="12.5"/>
    <row r="71" spans="2:25" ht="12.5"/>
    <row r="72" spans="2:25" ht="12.5"/>
    <row r="73" spans="2:25" ht="12.5"/>
    <row r="74" spans="2:25" ht="12.5"/>
    <row r="75" spans="2:25" ht="12.5"/>
    <row r="76" spans="2:25" ht="12.5"/>
    <row r="77" spans="2:25" ht="12.5"/>
    <row r="78" spans="2:25" ht="12.5"/>
    <row r="79" spans="2:25" ht="12.5"/>
    <row r="80" spans="2:25"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5"/>
    <row r="149" ht="12.5"/>
    <row r="150" ht="12.75" customHeight="1"/>
  </sheetData>
  <sheetProtection sheet="1" selectLockedCells="1"/>
  <mergeCells count="40">
    <mergeCell ref="B9:C9"/>
    <mergeCell ref="B33:C33"/>
    <mergeCell ref="E33:I33"/>
    <mergeCell ref="R33:Y33"/>
    <mergeCell ref="B28:O28"/>
    <mergeCell ref="B29:C29"/>
    <mergeCell ref="E29:I29"/>
    <mergeCell ref="R29:Y29"/>
    <mergeCell ref="B30:C30"/>
    <mergeCell ref="E30:I30"/>
    <mergeCell ref="B21:C21"/>
    <mergeCell ref="B31:C31"/>
    <mergeCell ref="E31:I31"/>
    <mergeCell ref="B32:C32"/>
    <mergeCell ref="E32:I32"/>
    <mergeCell ref="R32:Y32"/>
    <mergeCell ref="B42:C42"/>
    <mergeCell ref="E42:I42"/>
    <mergeCell ref="R42:Y42"/>
    <mergeCell ref="B38:C38"/>
    <mergeCell ref="E38:I38"/>
    <mergeCell ref="B39:C39"/>
    <mergeCell ref="E39:I39"/>
    <mergeCell ref="B40:C40"/>
    <mergeCell ref="E40:I40"/>
    <mergeCell ref="R40:Y40"/>
    <mergeCell ref="B41:C41"/>
    <mergeCell ref="E41:I41"/>
    <mergeCell ref="R41:Y41"/>
    <mergeCell ref="B34:C34"/>
    <mergeCell ref="E34:I34"/>
    <mergeCell ref="R34:Y34"/>
    <mergeCell ref="B37:C37"/>
    <mergeCell ref="E37:I37"/>
    <mergeCell ref="R37:Y37"/>
    <mergeCell ref="B11:C11"/>
    <mergeCell ref="B13:C13"/>
    <mergeCell ref="B15:C15"/>
    <mergeCell ref="B17:C17"/>
    <mergeCell ref="B19:C1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0F99-C637-4966-ABEA-93F6092C9780}">
  <sheetPr codeName="Sheet7">
    <tabColor theme="5" tint="0.249977111117893"/>
  </sheetPr>
  <dimension ref="A1:LG130"/>
  <sheetViews>
    <sheetView showRowColHeaders="0" zoomScale="80" zoomScaleNormal="80" workbookViewId="0">
      <pane ySplit="7" topLeftCell="A8" activePane="bottomLeft" state="frozen"/>
      <selection pane="bottomLeft" activeCell="B15" sqref="B15"/>
    </sheetView>
  </sheetViews>
  <sheetFormatPr baseColWidth="10" defaultColWidth="0" defaultRowHeight="12.75" customHeight="1" zeroHeight="1"/>
  <cols>
    <col min="1" max="1" width="5.81640625" style="18" customWidth="1"/>
    <col min="2" max="2" width="12.81640625" style="18" customWidth="1"/>
    <col min="3" max="3" width="19.453125" style="18" customWidth="1"/>
    <col min="4" max="4" width="2.81640625" style="18" customWidth="1"/>
    <col min="5" max="5" width="60" style="18" customWidth="1"/>
    <col min="6" max="6" width="9.1796875" style="18" customWidth="1"/>
    <col min="7" max="7" width="6.81640625" style="18" customWidth="1"/>
    <col min="8" max="8" width="17.1796875" style="18" customWidth="1"/>
    <col min="9" max="9" width="2.81640625" style="18" customWidth="1"/>
    <col min="10" max="10" width="60" style="18" customWidth="1"/>
    <col min="11" max="11" width="9.1796875" style="18" customWidth="1"/>
    <col min="12" max="12" width="12.453125" style="230" customWidth="1"/>
    <col min="13" max="13" width="19.81640625" style="230" hidden="1" customWidth="1"/>
    <col min="14" max="14" width="0.7265625" style="234" customWidth="1"/>
    <col min="15" max="15" width="0.7265625" style="247" customWidth="1"/>
    <col min="16" max="17" width="0.7265625" style="248" customWidth="1"/>
    <col min="18" max="21" width="0.7265625" style="249" customWidth="1"/>
    <col min="22" max="34" width="0.7265625" style="247" customWidth="1"/>
    <col min="35" max="36" width="0.7265625" style="20" customWidth="1"/>
    <col min="37" max="58" width="12.453125" style="20" hidden="1" customWidth="1"/>
    <col min="59" max="319" width="0" style="20" hidden="1" customWidth="1"/>
    <col min="320" max="16384" width="12.453125" style="20" hidden="1"/>
  </cols>
  <sheetData>
    <row r="1" spans="2:319" s="18" customFormat="1" ht="48" customHeight="1">
      <c r="L1" s="230"/>
      <c r="M1" s="230"/>
      <c r="N1" s="230"/>
      <c r="O1" s="230"/>
      <c r="P1" s="231"/>
      <c r="Q1" s="231"/>
      <c r="R1" s="232"/>
      <c r="S1" s="232"/>
      <c r="T1" s="232"/>
      <c r="U1" s="232"/>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c r="DV1" s="230"/>
      <c r="DW1" s="230"/>
      <c r="DX1" s="230"/>
      <c r="DY1" s="230"/>
      <c r="DZ1" s="230"/>
      <c r="EA1" s="230"/>
      <c r="EB1" s="230"/>
      <c r="EC1" s="230"/>
      <c r="ED1" s="230"/>
      <c r="EE1" s="230"/>
      <c r="EF1" s="230"/>
      <c r="EG1" s="230"/>
      <c r="EH1" s="230"/>
      <c r="EI1" s="230"/>
      <c r="EJ1" s="230"/>
      <c r="EK1" s="230"/>
      <c r="EL1" s="230"/>
      <c r="EM1" s="230"/>
      <c r="EN1" s="230"/>
      <c r="EO1" s="230"/>
      <c r="EP1" s="230"/>
      <c r="EQ1" s="230"/>
      <c r="ER1" s="230"/>
      <c r="ES1" s="230"/>
      <c r="ET1" s="230"/>
      <c r="EU1" s="230"/>
      <c r="EV1" s="230"/>
      <c r="EW1" s="230"/>
      <c r="EX1" s="230"/>
      <c r="EY1" s="230"/>
      <c r="EZ1" s="230"/>
      <c r="FA1" s="230"/>
      <c r="FB1" s="230"/>
      <c r="FC1" s="230"/>
      <c r="FD1" s="230"/>
      <c r="FE1" s="230"/>
      <c r="FF1" s="230"/>
      <c r="FG1" s="230"/>
      <c r="FH1" s="230"/>
      <c r="FI1" s="230"/>
      <c r="FJ1" s="230"/>
      <c r="FK1" s="230"/>
      <c r="FL1" s="230"/>
      <c r="FM1" s="230"/>
      <c r="FN1" s="230"/>
      <c r="FO1" s="230"/>
      <c r="FP1" s="230"/>
      <c r="FQ1" s="230"/>
      <c r="FR1" s="230"/>
      <c r="FS1" s="230"/>
      <c r="FT1" s="230"/>
      <c r="FU1" s="230"/>
      <c r="FV1" s="230"/>
      <c r="FW1" s="230"/>
      <c r="FX1" s="230"/>
      <c r="FY1" s="230"/>
      <c r="FZ1" s="230"/>
      <c r="GA1" s="230"/>
      <c r="GB1" s="230"/>
      <c r="GC1" s="230"/>
      <c r="GD1" s="230"/>
      <c r="GE1" s="230"/>
      <c r="GF1" s="230"/>
      <c r="GG1" s="230"/>
      <c r="GH1" s="230"/>
      <c r="GI1" s="230"/>
      <c r="GJ1" s="230"/>
      <c r="GK1" s="230"/>
      <c r="GL1" s="230"/>
      <c r="GM1" s="230"/>
      <c r="GN1" s="230"/>
      <c r="GO1" s="230"/>
      <c r="GP1" s="230"/>
      <c r="GQ1" s="230"/>
      <c r="GR1" s="230"/>
      <c r="GS1" s="230"/>
      <c r="GT1" s="230"/>
      <c r="GU1" s="230"/>
      <c r="GV1" s="230"/>
      <c r="GW1" s="230"/>
      <c r="GX1" s="230"/>
      <c r="GY1" s="230"/>
      <c r="GZ1" s="230"/>
      <c r="HA1" s="230"/>
      <c r="HB1" s="230"/>
      <c r="HC1" s="230"/>
      <c r="HD1" s="230"/>
      <c r="HE1" s="230"/>
      <c r="HF1" s="230"/>
      <c r="HG1" s="230"/>
      <c r="HH1" s="230"/>
      <c r="HI1" s="230"/>
      <c r="HJ1" s="230"/>
      <c r="HK1" s="230"/>
      <c r="HL1" s="230"/>
      <c r="HM1" s="230"/>
      <c r="HN1" s="230"/>
      <c r="HO1" s="230"/>
      <c r="HP1" s="230"/>
      <c r="HQ1" s="230"/>
      <c r="HR1" s="230"/>
      <c r="HS1" s="230"/>
      <c r="HT1" s="230"/>
      <c r="HU1" s="230"/>
      <c r="HV1" s="230"/>
      <c r="HW1" s="230"/>
      <c r="HX1" s="230"/>
      <c r="HY1" s="230"/>
      <c r="HZ1" s="230"/>
      <c r="IA1" s="230"/>
      <c r="IB1" s="230"/>
      <c r="IC1" s="230"/>
      <c r="ID1" s="230"/>
      <c r="IE1" s="230"/>
      <c r="IF1" s="230"/>
      <c r="IG1" s="230"/>
      <c r="IH1" s="230"/>
      <c r="II1" s="230"/>
      <c r="IJ1" s="230"/>
      <c r="IK1" s="230"/>
      <c r="IL1" s="230"/>
      <c r="IM1" s="230"/>
      <c r="IN1" s="230"/>
      <c r="IO1" s="230"/>
      <c r="IP1" s="230"/>
      <c r="IQ1" s="230"/>
      <c r="IR1" s="230"/>
      <c r="IS1" s="230"/>
      <c r="IT1" s="230"/>
      <c r="IU1" s="230"/>
      <c r="IV1" s="230"/>
      <c r="IW1" s="230"/>
      <c r="IX1" s="230"/>
      <c r="IY1" s="230"/>
      <c r="IZ1" s="230"/>
      <c r="JA1" s="230"/>
      <c r="JB1" s="230"/>
      <c r="JC1" s="230"/>
      <c r="JD1" s="230"/>
      <c r="JE1" s="230"/>
      <c r="JF1" s="230"/>
      <c r="JG1" s="230"/>
      <c r="JH1" s="230"/>
      <c r="JI1" s="230"/>
      <c r="JJ1" s="230"/>
      <c r="JK1" s="230"/>
      <c r="JL1" s="230"/>
      <c r="JM1" s="230"/>
      <c r="JN1" s="230"/>
      <c r="JO1" s="230"/>
      <c r="JP1" s="230"/>
      <c r="JQ1" s="230"/>
      <c r="JR1" s="230"/>
      <c r="JS1" s="230"/>
      <c r="JT1" s="230"/>
      <c r="JU1" s="230"/>
      <c r="JV1" s="230"/>
      <c r="JW1" s="230"/>
      <c r="JX1" s="230"/>
      <c r="JY1" s="230"/>
      <c r="JZ1" s="230"/>
      <c r="KA1" s="230"/>
      <c r="KB1" s="230"/>
      <c r="KC1" s="230"/>
      <c r="KD1" s="230"/>
      <c r="KE1" s="230"/>
      <c r="KF1" s="230"/>
      <c r="KG1" s="230"/>
      <c r="KH1" s="230"/>
      <c r="KI1" s="230"/>
      <c r="KJ1" s="230"/>
      <c r="KK1" s="230"/>
      <c r="KL1" s="230"/>
      <c r="KM1" s="230"/>
      <c r="KN1" s="230"/>
      <c r="KO1" s="230"/>
      <c r="KP1" s="230"/>
      <c r="KQ1" s="230"/>
      <c r="KR1" s="230"/>
      <c r="KS1" s="230"/>
      <c r="KT1" s="230"/>
      <c r="KU1" s="230"/>
      <c r="KV1" s="230"/>
      <c r="KW1" s="230"/>
      <c r="KX1" s="230"/>
      <c r="KY1" s="230"/>
      <c r="KZ1" s="230"/>
      <c r="LA1" s="230"/>
      <c r="LB1" s="230"/>
      <c r="LC1" s="230"/>
      <c r="LD1" s="230"/>
      <c r="LE1" s="230"/>
      <c r="LF1" s="230"/>
      <c r="LG1" s="230"/>
    </row>
    <row r="2" spans="2:319" s="18" customFormat="1" ht="15.5">
      <c r="B2" s="19"/>
      <c r="C2" s="19"/>
      <c r="D2" s="19"/>
      <c r="E2" s="19"/>
      <c r="F2" s="19"/>
      <c r="G2" s="19"/>
      <c r="H2" s="19"/>
      <c r="I2" s="19"/>
      <c r="J2" s="19"/>
      <c r="K2" s="19"/>
      <c r="L2" s="230"/>
      <c r="M2" s="230"/>
      <c r="N2" s="230"/>
      <c r="O2" s="230"/>
      <c r="P2" s="231"/>
      <c r="Q2" s="231"/>
      <c r="R2" s="232"/>
      <c r="S2" s="232"/>
      <c r="T2" s="232"/>
      <c r="U2" s="232"/>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c r="FL2" s="230"/>
      <c r="FM2" s="230"/>
      <c r="FN2" s="230"/>
      <c r="FO2" s="230"/>
      <c r="FP2" s="230"/>
      <c r="FQ2" s="230"/>
      <c r="FR2" s="230"/>
      <c r="FS2" s="230"/>
      <c r="FT2" s="230"/>
      <c r="FU2" s="230"/>
      <c r="FV2" s="230"/>
      <c r="FW2" s="230"/>
      <c r="FX2" s="230"/>
      <c r="FY2" s="230"/>
      <c r="FZ2" s="230"/>
      <c r="GA2" s="230"/>
      <c r="GB2" s="230"/>
      <c r="GC2" s="230"/>
      <c r="GD2" s="230"/>
      <c r="GE2" s="230"/>
      <c r="GF2" s="230"/>
      <c r="GG2" s="230"/>
      <c r="GH2" s="230"/>
      <c r="GI2" s="230"/>
      <c r="GJ2" s="230"/>
      <c r="GK2" s="230"/>
      <c r="GL2" s="230"/>
      <c r="GM2" s="230"/>
      <c r="GN2" s="230"/>
      <c r="GO2" s="230"/>
      <c r="GP2" s="230"/>
      <c r="GQ2" s="230"/>
      <c r="GR2" s="230"/>
      <c r="GS2" s="230"/>
      <c r="GT2" s="230"/>
      <c r="GU2" s="230"/>
      <c r="GV2" s="230"/>
      <c r="GW2" s="230"/>
      <c r="GX2" s="230"/>
      <c r="GY2" s="230"/>
      <c r="GZ2" s="230"/>
      <c r="HA2" s="230"/>
      <c r="HB2" s="230"/>
      <c r="HC2" s="230"/>
      <c r="HD2" s="230"/>
      <c r="HE2" s="230"/>
      <c r="HF2" s="230"/>
      <c r="HG2" s="230"/>
      <c r="HH2" s="230"/>
      <c r="HI2" s="230"/>
      <c r="HJ2" s="230"/>
      <c r="HK2" s="230"/>
      <c r="HL2" s="230"/>
      <c r="HM2" s="230"/>
      <c r="HN2" s="230"/>
      <c r="HO2" s="230"/>
      <c r="HP2" s="230"/>
      <c r="HQ2" s="230"/>
      <c r="HR2" s="230"/>
      <c r="HS2" s="230"/>
      <c r="HT2" s="230"/>
      <c r="HU2" s="230"/>
      <c r="HV2" s="230"/>
      <c r="HW2" s="230"/>
      <c r="HX2" s="230"/>
      <c r="HY2" s="230"/>
      <c r="HZ2" s="230"/>
      <c r="IA2" s="230"/>
      <c r="IB2" s="230"/>
      <c r="IC2" s="230"/>
      <c r="ID2" s="230"/>
      <c r="IE2" s="230"/>
      <c r="IF2" s="230"/>
      <c r="IG2" s="230"/>
      <c r="IH2" s="230"/>
      <c r="II2" s="230"/>
      <c r="IJ2" s="230"/>
      <c r="IK2" s="230"/>
      <c r="IL2" s="230"/>
      <c r="IM2" s="230"/>
      <c r="IN2" s="230"/>
      <c r="IO2" s="230"/>
      <c r="IP2" s="230"/>
      <c r="IQ2" s="230"/>
      <c r="IR2" s="230"/>
      <c r="IS2" s="230"/>
      <c r="IT2" s="230"/>
      <c r="IU2" s="230"/>
      <c r="IV2" s="230"/>
      <c r="IW2" s="230"/>
      <c r="IX2" s="230"/>
      <c r="IY2" s="230"/>
      <c r="IZ2" s="230"/>
      <c r="JA2" s="230"/>
      <c r="JB2" s="230"/>
      <c r="JC2" s="230"/>
      <c r="JD2" s="230"/>
      <c r="JE2" s="230"/>
      <c r="JF2" s="230"/>
      <c r="JG2" s="230"/>
      <c r="JH2" s="230"/>
      <c r="JI2" s="230"/>
      <c r="JJ2" s="230"/>
      <c r="JK2" s="230"/>
      <c r="JL2" s="230"/>
      <c r="JM2" s="230"/>
      <c r="JN2" s="230"/>
      <c r="JO2" s="230"/>
      <c r="JP2" s="230"/>
      <c r="JQ2" s="230"/>
      <c r="JR2" s="230"/>
      <c r="JS2" s="230"/>
      <c r="JT2" s="230"/>
      <c r="JU2" s="230"/>
      <c r="JV2" s="230"/>
      <c r="JW2" s="230"/>
      <c r="JX2" s="230"/>
      <c r="JY2" s="230"/>
      <c r="JZ2" s="230"/>
      <c r="KA2" s="230"/>
      <c r="KB2" s="230"/>
      <c r="KC2" s="230"/>
      <c r="KD2" s="230"/>
      <c r="KE2" s="230"/>
      <c r="KF2" s="230"/>
      <c r="KG2" s="230"/>
      <c r="KH2" s="230"/>
      <c r="KI2" s="230"/>
      <c r="KJ2" s="230"/>
      <c r="KK2" s="230"/>
      <c r="KL2" s="230"/>
      <c r="KM2" s="230"/>
      <c r="KN2" s="230"/>
      <c r="KO2" s="230"/>
      <c r="KP2" s="230"/>
      <c r="KQ2" s="230"/>
      <c r="KR2" s="230"/>
      <c r="KS2" s="230"/>
      <c r="KT2" s="230"/>
      <c r="KU2" s="230"/>
      <c r="KV2" s="230"/>
      <c r="KW2" s="230"/>
      <c r="KX2" s="230"/>
      <c r="KY2" s="230"/>
      <c r="KZ2" s="230"/>
      <c r="LA2" s="230"/>
      <c r="LB2" s="230"/>
      <c r="LC2" s="230"/>
      <c r="LD2" s="230"/>
      <c r="LE2" s="230"/>
      <c r="LF2" s="230"/>
      <c r="LG2" s="230"/>
    </row>
    <row r="3" spans="2:319" s="18" customFormat="1" ht="15.5">
      <c r="B3" s="19"/>
      <c r="C3" s="19"/>
      <c r="D3" s="19"/>
      <c r="E3" s="19"/>
      <c r="F3" s="19"/>
      <c r="G3" s="19"/>
      <c r="H3" s="19"/>
      <c r="I3" s="19"/>
      <c r="J3" s="19"/>
      <c r="K3" s="19"/>
      <c r="L3" s="230"/>
      <c r="M3" s="230"/>
      <c r="N3" s="230"/>
      <c r="O3" s="230"/>
      <c r="P3" s="231"/>
      <c r="Q3" s="231"/>
      <c r="R3" s="232"/>
      <c r="S3" s="232"/>
      <c r="T3" s="232"/>
      <c r="U3" s="232"/>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row>
    <row r="4" spans="2:319" s="18" customFormat="1" ht="15.5">
      <c r="B4" s="19"/>
      <c r="C4" s="19"/>
      <c r="D4" s="19"/>
      <c r="E4" s="19"/>
      <c r="F4" s="19"/>
      <c r="G4" s="19"/>
      <c r="H4" s="19"/>
      <c r="I4" s="19"/>
      <c r="J4" s="19"/>
      <c r="K4" s="19"/>
      <c r="L4" s="230"/>
      <c r="M4" s="230"/>
      <c r="N4" s="230"/>
      <c r="O4" s="230"/>
      <c r="P4" s="231"/>
      <c r="Q4" s="231"/>
      <c r="R4" s="232"/>
      <c r="S4" s="232"/>
      <c r="T4" s="232"/>
      <c r="U4" s="232"/>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row>
    <row r="5" spans="2:319" s="18" customFormat="1" ht="15.5">
      <c r="B5" s="19"/>
      <c r="C5" s="19"/>
      <c r="D5" s="19"/>
      <c r="E5" s="19"/>
      <c r="F5" s="19"/>
      <c r="G5" s="19"/>
      <c r="H5" s="19"/>
      <c r="I5" s="19"/>
      <c r="J5" s="19"/>
      <c r="K5" s="19"/>
      <c r="L5" s="230"/>
      <c r="M5" s="230"/>
      <c r="N5" s="230"/>
      <c r="O5" s="230"/>
      <c r="P5" s="231"/>
      <c r="Q5" s="231"/>
      <c r="R5" s="232"/>
      <c r="S5" s="232"/>
      <c r="T5" s="232"/>
      <c r="U5" s="232"/>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row>
    <row r="6" spans="2:319" ht="15.5">
      <c r="B6" s="19"/>
      <c r="C6" s="19"/>
      <c r="D6" s="19"/>
      <c r="E6" s="19"/>
      <c r="F6" s="19"/>
      <c r="G6" s="19"/>
      <c r="H6" s="19"/>
      <c r="I6" s="19"/>
      <c r="J6" s="19"/>
      <c r="K6" s="19"/>
      <c r="N6" s="230"/>
      <c r="O6" s="20"/>
      <c r="P6" s="245"/>
      <c r="Q6" s="245"/>
      <c r="R6" s="246"/>
      <c r="S6" s="246"/>
      <c r="T6" s="246"/>
      <c r="U6" s="246"/>
      <c r="V6" s="20"/>
      <c r="W6" s="20"/>
      <c r="X6" s="20"/>
      <c r="Y6" s="20"/>
      <c r="Z6" s="20"/>
      <c r="AA6" s="20"/>
      <c r="AB6" s="20"/>
      <c r="AC6" s="20"/>
      <c r="AD6" s="20"/>
      <c r="AE6" s="20"/>
      <c r="AF6" s="20"/>
      <c r="AG6" s="20"/>
      <c r="AH6" s="20"/>
    </row>
    <row r="7" spans="2:319" ht="15.5">
      <c r="B7" s="19"/>
      <c r="C7" s="19"/>
      <c r="D7" s="19"/>
      <c r="E7" s="19"/>
      <c r="F7" s="19"/>
      <c r="G7" s="19"/>
      <c r="H7" s="19"/>
      <c r="I7" s="19"/>
      <c r="J7" s="19"/>
      <c r="K7" s="19"/>
      <c r="N7" s="230"/>
      <c r="O7" s="20"/>
      <c r="P7" s="245"/>
      <c r="Q7" s="245"/>
      <c r="R7" s="246"/>
      <c r="S7" s="246"/>
      <c r="T7" s="246"/>
      <c r="U7" s="246"/>
      <c r="V7" s="20"/>
      <c r="W7" s="20"/>
      <c r="X7" s="20"/>
      <c r="Y7" s="20"/>
      <c r="Z7" s="20"/>
      <c r="AA7" s="20"/>
      <c r="AB7" s="20"/>
      <c r="AC7" s="20"/>
      <c r="AD7" s="20"/>
      <c r="AE7" s="20"/>
      <c r="AF7" s="20"/>
      <c r="AG7" s="20"/>
      <c r="AH7" s="20"/>
    </row>
    <row r="8" spans="2:319" ht="15.5">
      <c r="B8" s="25"/>
      <c r="C8" s="25"/>
      <c r="D8" s="25"/>
      <c r="E8" s="25"/>
      <c r="F8" s="25"/>
      <c r="G8" s="25"/>
      <c r="H8" s="25"/>
      <c r="I8" s="25"/>
      <c r="J8" s="25"/>
      <c r="K8" s="25"/>
      <c r="L8" s="233"/>
      <c r="Q8" s="336" t="s">
        <v>225</v>
      </c>
      <c r="R8" s="336"/>
      <c r="S8" s="336"/>
      <c r="U8" s="336" t="s">
        <v>226</v>
      </c>
      <c r="V8" s="336"/>
      <c r="W8" s="336"/>
    </row>
    <row r="9" spans="2:319" ht="15.5">
      <c r="B9" s="25"/>
      <c r="C9" s="61"/>
      <c r="D9" s="25"/>
      <c r="E9" s="154" t="str">
        <f>"Time horizon: "&amp;'1-Description'!E29&amp;" years"</f>
        <v>Time horizon: 10 years</v>
      </c>
      <c r="F9" s="25"/>
      <c r="G9" s="25"/>
      <c r="H9" s="61"/>
      <c r="I9" s="25"/>
      <c r="J9" s="24"/>
      <c r="K9" s="25"/>
      <c r="L9" s="59"/>
      <c r="M9" s="20"/>
      <c r="N9" s="247" t="s">
        <v>183</v>
      </c>
      <c r="R9" s="248" t="s">
        <v>224</v>
      </c>
      <c r="S9" s="249" t="s">
        <v>223</v>
      </c>
      <c r="T9" s="249" t="s">
        <v>228</v>
      </c>
      <c r="U9" s="248"/>
      <c r="V9" s="248" t="s">
        <v>227</v>
      </c>
      <c r="W9" s="249" t="s">
        <v>223</v>
      </c>
      <c r="X9" s="247" t="s">
        <v>228</v>
      </c>
    </row>
    <row r="10" spans="2:319" ht="15.5">
      <c r="B10" s="25"/>
      <c r="C10" s="25"/>
      <c r="D10" s="25"/>
      <c r="E10" s="286" t="str">
        <f>'1-Description'!N9</f>
        <v xml:space="preserve">Customer service struggles with routing questions efficiently to appropriate agents, high volumes of simple queries, and long response times. These factors coalesce into a poor customer and employee experience. </v>
      </c>
      <c r="F10" s="25"/>
      <c r="G10" s="335" t="str">
        <f>'1-Description'!N17</f>
        <v>Cost reductions through lower cost digital channels, empowering agents with a knowledge assistant, and enabling self-service for employees and customers. This improves the company's customer experience by providing digital-first experiences and new innovations.</v>
      </c>
      <c r="H10" s="335"/>
      <c r="I10" s="335"/>
      <c r="J10" s="335"/>
      <c r="K10" s="25"/>
      <c r="L10" s="59"/>
      <c r="M10" s="20"/>
      <c r="N10" s="247" t="s">
        <v>191</v>
      </c>
      <c r="O10" s="250">
        <f>'3-Costs'!I24</f>
        <v>62100</v>
      </c>
      <c r="Q10" s="248" t="str">
        <f>"I1"&amp;$B$14</f>
        <v>I1Best Case</v>
      </c>
      <c r="R10" s="249" t="s">
        <v>397</v>
      </c>
      <c r="S10" s="250">
        <f>VLOOKUP(Q10,$N$10:$O$45,2,0)</f>
        <v>62100</v>
      </c>
      <c r="T10" s="251">
        <f>Table2[[#This Row],[Cost]]/SUM(Table2[Cost])</f>
        <v>0.10760700051984058</v>
      </c>
      <c r="U10" s="248" t="str">
        <f>"M1"&amp;$B$14</f>
        <v>M1Best Case</v>
      </c>
      <c r="V10" s="249" t="s">
        <v>396</v>
      </c>
      <c r="W10" s="250">
        <f>VLOOKUP(U10,$N$10:$O$45,2,0)</f>
        <v>742500</v>
      </c>
      <c r="X10" s="252">
        <f>Table3[[#This Row],[Cost]]/SUM(Table3[Cost])</f>
        <v>0.83083709214850554</v>
      </c>
    </row>
    <row r="11" spans="2:319" ht="15.5">
      <c r="B11" s="25"/>
      <c r="C11" s="61"/>
      <c r="D11" s="25"/>
      <c r="E11" s="286"/>
      <c r="F11" s="25"/>
      <c r="G11" s="335"/>
      <c r="H11" s="335"/>
      <c r="I11" s="335"/>
      <c r="J11" s="335"/>
      <c r="K11" s="25"/>
      <c r="L11" s="59"/>
      <c r="M11" s="20"/>
      <c r="N11" s="247" t="s">
        <v>192</v>
      </c>
      <c r="O11" s="250">
        <f>'3-Costs'!I32</f>
        <v>371250</v>
      </c>
      <c r="Q11" s="248" t="str">
        <f>"I2"&amp;$B$14</f>
        <v>I2Best Case</v>
      </c>
      <c r="R11" s="249" t="s">
        <v>386</v>
      </c>
      <c r="S11" s="250">
        <f t="shared" ref="S11:S16" si="0">VLOOKUP(Q11,$N$10:$O$45,2,0)</f>
        <v>371250</v>
      </c>
      <c r="T11" s="251">
        <f>Table2[[#This Row],[Cost]]/SUM(Table2[Cost])</f>
        <v>0.64330272049904691</v>
      </c>
      <c r="U11" s="248" t="str">
        <f>"M2"&amp;$B$14</f>
        <v>M2Best Case</v>
      </c>
      <c r="V11" s="249" t="s">
        <v>389</v>
      </c>
      <c r="W11" s="250">
        <f>VLOOKUP(U11,$N$10:$O$45,2,0)</f>
        <v>0</v>
      </c>
      <c r="X11" s="252">
        <f>Table3[[#This Row],[Cost]]/SUM(Table3[Cost])</f>
        <v>0</v>
      </c>
    </row>
    <row r="12" spans="2:319" ht="15.5">
      <c r="B12" s="25"/>
      <c r="C12" s="25"/>
      <c r="D12" s="25"/>
      <c r="E12" s="286"/>
      <c r="F12" s="25"/>
      <c r="G12" s="335"/>
      <c r="H12" s="335"/>
      <c r="I12" s="335"/>
      <c r="J12" s="335"/>
      <c r="K12" s="25"/>
      <c r="L12" s="59"/>
      <c r="M12" s="20"/>
      <c r="N12" s="247" t="s">
        <v>193</v>
      </c>
      <c r="O12" s="250">
        <f>'3-Costs'!I40</f>
        <v>0</v>
      </c>
      <c r="Q12" s="248" t="str">
        <f>"I3"&amp;$B$14</f>
        <v>I3Best Case</v>
      </c>
      <c r="R12" s="249" t="s">
        <v>387</v>
      </c>
      <c r="S12" s="250">
        <f t="shared" si="0"/>
        <v>0</v>
      </c>
      <c r="T12" s="251">
        <f>Table2[[#This Row],[Cost]]/SUM(Table2[Cost])</f>
        <v>0</v>
      </c>
      <c r="U12" s="248" t="str">
        <f>"M3"&amp;$B$14</f>
        <v>M3Best Case</v>
      </c>
      <c r="V12" s="249" t="s">
        <v>390</v>
      </c>
      <c r="W12" s="250">
        <f>VLOOKUP(U12,$N$10:$O$45,2,0)</f>
        <v>36225</v>
      </c>
      <c r="X12" s="252">
        <f>Table3[[#This Row],[Cost]]/SUM(Table3[Cost])</f>
        <v>4.0534779344214969E-2</v>
      </c>
    </row>
    <row r="13" spans="2:319" ht="15.5">
      <c r="B13" s="25"/>
      <c r="C13" s="61"/>
      <c r="D13" s="25"/>
      <c r="E13" s="286"/>
      <c r="F13" s="25"/>
      <c r="G13" s="335"/>
      <c r="H13" s="335"/>
      <c r="I13" s="335"/>
      <c r="J13" s="335"/>
      <c r="K13" s="25"/>
      <c r="L13" s="59"/>
      <c r="M13" s="20"/>
      <c r="N13" s="247" t="s">
        <v>194</v>
      </c>
      <c r="O13" s="250">
        <f>'3-Costs'!I48</f>
        <v>0</v>
      </c>
      <c r="Q13" s="248" t="str">
        <f>"I4"&amp;$B$14</f>
        <v>I4Best Case</v>
      </c>
      <c r="R13" s="249" t="s">
        <v>220</v>
      </c>
      <c r="S13" s="250">
        <f t="shared" si="0"/>
        <v>0</v>
      </c>
      <c r="T13" s="251">
        <f>Table2[[#This Row],[Cost]]/SUM(Table2[Cost])</f>
        <v>0</v>
      </c>
      <c r="U13" s="248" t="str">
        <f>"M4"&amp;$B$14</f>
        <v>M4Best Case</v>
      </c>
      <c r="V13" s="249" t="s">
        <v>391</v>
      </c>
      <c r="W13" s="250">
        <f>VLOOKUP(U13,$N$10:$O$45,2,0)</f>
        <v>39819</v>
      </c>
      <c r="X13" s="252">
        <f>Table3[[#This Row],[Cost]]/SUM(Table3[Cost])</f>
        <v>4.4556366561968139E-2</v>
      </c>
    </row>
    <row r="14" spans="2:319" ht="15.75" customHeight="1">
      <c r="B14" s="155" t="str">
        <f>VLOOKUP(B15,Q22:R24,2,0)</f>
        <v>Best Case</v>
      </c>
      <c r="C14" s="70" t="str">
        <f>"Discount rate: "&amp;'1-Description'!N29*100&amp;"%"</f>
        <v>Discount rate: 12.5%</v>
      </c>
      <c r="D14" s="25"/>
      <c r="E14" s="286"/>
      <c r="F14" s="25"/>
      <c r="G14" s="335"/>
      <c r="H14" s="335"/>
      <c r="I14" s="335"/>
      <c r="J14" s="335"/>
      <c r="K14" s="25"/>
      <c r="L14" s="59"/>
      <c r="M14" s="20"/>
      <c r="N14" s="247" t="s">
        <v>195</v>
      </c>
      <c r="O14" s="250">
        <f>'3-Costs'!I56</f>
        <v>0</v>
      </c>
      <c r="Q14" s="248" t="str">
        <f>"I5"&amp;$B$14</f>
        <v>I5Best Case</v>
      </c>
      <c r="R14" s="249" t="s">
        <v>221</v>
      </c>
      <c r="S14" s="250">
        <f t="shared" si="0"/>
        <v>0</v>
      </c>
      <c r="T14" s="251">
        <f>Table2[[#This Row],[Cost]]/SUM(Table2[Cost])</f>
        <v>0</v>
      </c>
      <c r="U14" s="248" t="str">
        <f>"M5"&amp;$B$14</f>
        <v>M5Best Case</v>
      </c>
      <c r="V14" s="249" t="s">
        <v>222</v>
      </c>
      <c r="W14" s="250">
        <f>VLOOKUP(U14,$N$10:$O$45,2,0)</f>
        <v>75133</v>
      </c>
      <c r="X14" s="252">
        <f>Table3[[#This Row],[Cost]]/SUM(Table3[Cost])</f>
        <v>8.4071761945311338E-2</v>
      </c>
    </row>
    <row r="15" spans="2:319" ht="15.5">
      <c r="B15" s="156">
        <v>1</v>
      </c>
      <c r="C15" s="61"/>
      <c r="D15" s="25"/>
      <c r="E15" s="286"/>
      <c r="F15" s="25"/>
      <c r="G15" s="335"/>
      <c r="H15" s="335"/>
      <c r="I15" s="335"/>
      <c r="J15" s="335"/>
      <c r="K15" s="25"/>
      <c r="L15" s="59"/>
      <c r="M15" s="20"/>
      <c r="N15" s="247" t="s">
        <v>196</v>
      </c>
      <c r="O15" s="250">
        <f>'3-Costs'!I64</f>
        <v>0</v>
      </c>
      <c r="Q15" s="248" t="str">
        <f>"I6"&amp;$B$14</f>
        <v>I6Best Case</v>
      </c>
      <c r="R15" s="249" t="s">
        <v>388</v>
      </c>
      <c r="S15" s="250">
        <f t="shared" si="0"/>
        <v>0</v>
      </c>
      <c r="T15" s="251">
        <f>Table2[[#This Row],[Cost]]/SUM(Table2[Cost])</f>
        <v>0</v>
      </c>
      <c r="U15" s="248"/>
      <c r="V15" s="249"/>
      <c r="W15" s="249"/>
    </row>
    <row r="16" spans="2:319" ht="15.5">
      <c r="B16" s="25"/>
      <c r="C16" s="25"/>
      <c r="D16" s="25"/>
      <c r="E16" s="286"/>
      <c r="F16" s="25"/>
      <c r="G16" s="335"/>
      <c r="H16" s="335"/>
      <c r="I16" s="335"/>
      <c r="J16" s="335"/>
      <c r="K16" s="25"/>
      <c r="L16" s="59"/>
      <c r="M16" s="20"/>
      <c r="N16" s="247" t="s">
        <v>197</v>
      </c>
      <c r="O16" s="250">
        <f>'3-Costs'!I72</f>
        <v>143750</v>
      </c>
      <c r="Q16" s="248" t="str">
        <f>"I7"&amp;$B$14</f>
        <v>I7Best Case</v>
      </c>
      <c r="R16" s="249" t="s">
        <v>222</v>
      </c>
      <c r="S16" s="250">
        <f t="shared" si="0"/>
        <v>143750</v>
      </c>
      <c r="T16" s="251">
        <f>Table2[[#This Row],[Cost]]/SUM(Table2[Cost])</f>
        <v>0.24909027898111247</v>
      </c>
      <c r="U16" s="248"/>
      <c r="V16" s="249"/>
      <c r="W16" s="249"/>
    </row>
    <row r="17" spans="2:26" ht="15.75" customHeight="1">
      <c r="B17" s="54"/>
      <c r="C17" s="54"/>
      <c r="D17" s="25"/>
      <c r="E17" s="24"/>
      <c r="F17" s="25"/>
      <c r="G17" s="25"/>
      <c r="H17" s="25"/>
      <c r="I17" s="25"/>
      <c r="J17" s="24"/>
      <c r="K17" s="25"/>
      <c r="L17" s="59"/>
      <c r="M17" s="20"/>
      <c r="N17" s="247" t="s">
        <v>184</v>
      </c>
      <c r="O17" s="250">
        <f>'3-Costs'!I28</f>
        <v>77625</v>
      </c>
      <c r="S17" s="253"/>
      <c r="V17" s="249"/>
    </row>
    <row r="18" spans="2:26" ht="15.75" customHeight="1">
      <c r="B18" s="25"/>
      <c r="C18" s="25"/>
      <c r="D18" s="25"/>
      <c r="E18" s="24"/>
      <c r="F18" s="25"/>
      <c r="G18" s="25"/>
      <c r="H18" s="25"/>
      <c r="I18" s="25"/>
      <c r="J18" s="24"/>
      <c r="K18" s="25"/>
      <c r="L18" s="59"/>
      <c r="M18" s="20"/>
      <c r="N18" s="247" t="s">
        <v>185</v>
      </c>
      <c r="O18" s="250">
        <f>'3-Costs'!I36</f>
        <v>464062.5</v>
      </c>
      <c r="R18" s="248"/>
      <c r="S18" s="254"/>
      <c r="V18" s="249"/>
    </row>
    <row r="19" spans="2:26" ht="15.5">
      <c r="B19" s="54"/>
      <c r="C19" s="54"/>
      <c r="D19" s="25"/>
      <c r="E19" s="24"/>
      <c r="F19" s="25"/>
      <c r="G19" s="25"/>
      <c r="H19" s="25"/>
      <c r="I19" s="25"/>
      <c r="J19" s="24"/>
      <c r="K19" s="25"/>
      <c r="L19" s="59"/>
      <c r="M19" s="20"/>
      <c r="N19" s="247" t="s">
        <v>186</v>
      </c>
      <c r="O19" s="250">
        <f>'3-Costs'!I44</f>
        <v>0</v>
      </c>
      <c r="R19" s="248"/>
      <c r="V19" s="249"/>
    </row>
    <row r="20" spans="2:26" ht="29.25" customHeight="1">
      <c r="B20" s="54"/>
      <c r="C20" s="45"/>
      <c r="D20" s="25"/>
      <c r="E20" s="25"/>
      <c r="F20" s="25"/>
      <c r="G20" s="25"/>
      <c r="H20" s="25"/>
      <c r="I20" s="25"/>
      <c r="J20" s="25"/>
      <c r="K20" s="25"/>
      <c r="L20" s="59"/>
      <c r="M20" s="20"/>
      <c r="N20" s="247" t="s">
        <v>187</v>
      </c>
      <c r="O20" s="250">
        <f>'3-Costs'!I52</f>
        <v>0</v>
      </c>
      <c r="R20" s="248"/>
      <c r="V20" s="249"/>
    </row>
    <row r="21" spans="2:26" ht="15.75" customHeight="1">
      <c r="B21" s="25"/>
      <c r="C21" s="61"/>
      <c r="D21" s="25"/>
      <c r="E21" s="24"/>
      <c r="F21" s="25"/>
      <c r="G21" s="25"/>
      <c r="H21" s="61"/>
      <c r="I21" s="25"/>
      <c r="J21" s="24"/>
      <c r="K21" s="25"/>
      <c r="L21" s="59"/>
      <c r="M21" s="20"/>
      <c r="N21" s="247" t="s">
        <v>188</v>
      </c>
      <c r="O21" s="250">
        <f>'3-Costs'!I62</f>
        <v>0</v>
      </c>
      <c r="Q21" s="248" t="s">
        <v>102</v>
      </c>
      <c r="R21" s="248"/>
      <c r="V21" s="249"/>
    </row>
    <row r="22" spans="2:26" ht="15.75" customHeight="1">
      <c r="B22" s="25"/>
      <c r="C22" s="25"/>
      <c r="D22" s="25"/>
      <c r="E22" s="24"/>
      <c r="F22" s="25"/>
      <c r="G22" s="25"/>
      <c r="H22" s="25"/>
      <c r="I22" s="25"/>
      <c r="J22" s="24"/>
      <c r="K22" s="25"/>
      <c r="L22" s="59"/>
      <c r="M22" s="20"/>
      <c r="N22" s="247" t="s">
        <v>189</v>
      </c>
      <c r="O22" s="250">
        <f>'3-Costs'!I68</f>
        <v>0</v>
      </c>
      <c r="Q22" s="248">
        <v>1</v>
      </c>
      <c r="R22" s="248" t="s">
        <v>2</v>
      </c>
      <c r="U22" s="255" t="s">
        <v>104</v>
      </c>
      <c r="V22" s="249"/>
      <c r="W22" s="247" t="s">
        <v>384</v>
      </c>
      <c r="X22" s="247" t="s">
        <v>395</v>
      </c>
    </row>
    <row r="23" spans="2:26" ht="15.75" customHeight="1">
      <c r="B23" s="25"/>
      <c r="C23" s="25"/>
      <c r="D23" s="25"/>
      <c r="E23" s="24"/>
      <c r="F23" s="25"/>
      <c r="G23" s="25"/>
      <c r="H23" s="25"/>
      <c r="I23" s="25"/>
      <c r="J23" s="24"/>
      <c r="K23" s="25"/>
      <c r="L23" s="59"/>
      <c r="M23" s="20"/>
      <c r="N23" s="247" t="s">
        <v>190</v>
      </c>
      <c r="O23" s="250">
        <f>'3-Costs'!I76</f>
        <v>179687.5</v>
      </c>
      <c r="Q23" s="248">
        <v>2</v>
      </c>
      <c r="R23" s="248" t="s">
        <v>3</v>
      </c>
      <c r="U23" s="248" t="s">
        <v>84</v>
      </c>
      <c r="V23" s="256">
        <f>'2-Value'!G9+'2-Value'!G16-'3-Costs'!G15</f>
        <v>1848824</v>
      </c>
      <c r="W23" s="257">
        <f>AVERAGE(U63:U73)</f>
        <v>1093824.238338711</v>
      </c>
      <c r="X23" s="258">
        <f>AVERAGE(AJ63:AJ73)</f>
        <v>649761.34975191473</v>
      </c>
    </row>
    <row r="24" spans="2:26" ht="15.75" customHeight="1">
      <c r="B24" s="25"/>
      <c r="C24" s="25"/>
      <c r="D24" s="25"/>
      <c r="E24" s="24"/>
      <c r="F24" s="25"/>
      <c r="G24" s="25"/>
      <c r="H24" s="25"/>
      <c r="I24" s="25"/>
      <c r="J24" s="24"/>
      <c r="K24" s="25"/>
      <c r="L24" s="59"/>
      <c r="M24" s="20"/>
      <c r="N24" s="247" t="s">
        <v>198</v>
      </c>
      <c r="O24" s="250">
        <f>'3-Costs'!I26</f>
        <v>93150</v>
      </c>
      <c r="Q24" s="248">
        <v>3</v>
      </c>
      <c r="R24" s="248" t="s">
        <v>6</v>
      </c>
      <c r="U24" s="248" t="s">
        <v>85</v>
      </c>
      <c r="V24" s="256">
        <f>'2-Value'!I9+'2-Value'!I16-'3-Costs'!I15</f>
        <v>2982703.5</v>
      </c>
      <c r="W24" s="257">
        <f>AVERAGE(U51:U61)</f>
        <v>3381368.9726140392</v>
      </c>
      <c r="X24" s="258">
        <f>AVERAGE(AJ51:AJ61)</f>
        <v>1754827.7490175543</v>
      </c>
    </row>
    <row r="25" spans="2:26" ht="15.75" customHeight="1">
      <c r="B25" s="25"/>
      <c r="C25" s="25"/>
      <c r="D25" s="25"/>
      <c r="E25" s="24"/>
      <c r="F25" s="25"/>
      <c r="G25" s="25"/>
      <c r="H25" s="25"/>
      <c r="I25" s="25"/>
      <c r="J25" s="24"/>
      <c r="K25" s="25"/>
      <c r="L25" s="59"/>
      <c r="M25" s="20"/>
      <c r="N25" s="247" t="s">
        <v>199</v>
      </c>
      <c r="O25" s="250">
        <f>'3-Costs'!I34</f>
        <v>556875</v>
      </c>
      <c r="R25" s="248"/>
      <c r="U25" s="248" t="s">
        <v>86</v>
      </c>
      <c r="V25" s="256">
        <f>'2-Value'!E9+'2-Value'!E16-'3-Costs'!E15</f>
        <v>4116583</v>
      </c>
      <c r="W25" s="257">
        <f>AVERAGE(U39:U49)</f>
        <v>5911875.5614780374</v>
      </c>
      <c r="X25" s="258">
        <f>AVERAGE(AJ39:AJ49)</f>
        <v>2960381.150583772</v>
      </c>
    </row>
    <row r="26" spans="2:26" ht="15.75" customHeight="1">
      <c r="B26" s="25"/>
      <c r="C26" s="25"/>
      <c r="D26" s="25"/>
      <c r="E26" s="24"/>
      <c r="F26" s="25"/>
      <c r="G26" s="25"/>
      <c r="H26" s="25"/>
      <c r="I26" s="25"/>
      <c r="J26" s="24"/>
      <c r="K26" s="25"/>
      <c r="L26" s="59"/>
      <c r="M26" s="20"/>
      <c r="N26" s="247" t="s">
        <v>200</v>
      </c>
      <c r="O26" s="250">
        <f>'3-Costs'!I42</f>
        <v>0</v>
      </c>
      <c r="Q26" s="248" t="s">
        <v>103</v>
      </c>
      <c r="R26" s="248"/>
      <c r="U26" s="248" t="s">
        <v>87</v>
      </c>
      <c r="V26" s="256">
        <f>NPV('1-Description'!N29,'5-Assessment'!U64:U73)+U63</f>
        <v>7147374.8472710615</v>
      </c>
      <c r="W26" s="257"/>
      <c r="X26" s="258"/>
    </row>
    <row r="27" spans="2:26" ht="15.75" customHeight="1">
      <c r="B27" s="25"/>
      <c r="C27" s="25"/>
      <c r="D27" s="25"/>
      <c r="E27" s="24"/>
      <c r="F27" s="25"/>
      <c r="G27" s="25"/>
      <c r="H27" s="25"/>
      <c r="I27" s="25"/>
      <c r="J27" s="24"/>
      <c r="K27" s="25"/>
      <c r="L27" s="59"/>
      <c r="M27" s="20"/>
      <c r="N27" s="247" t="s">
        <v>201</v>
      </c>
      <c r="O27" s="250">
        <f>'3-Costs'!I50</f>
        <v>0</v>
      </c>
      <c r="Q27" s="248" t="s">
        <v>95</v>
      </c>
      <c r="R27" s="257">
        <f>VLOOKUP("YP"&amp;B14,$U$23:$X$34,4,0)</f>
        <v>2960381.150583772</v>
      </c>
      <c r="U27" s="248" t="s">
        <v>88</v>
      </c>
      <c r="V27" s="256">
        <f>NPV('1-Description'!N29,'5-Assessment'!U52:U61)+U51</f>
        <v>19303105.239193097</v>
      </c>
    </row>
    <row r="28" spans="2:26" ht="15.75" customHeight="1">
      <c r="B28" s="25"/>
      <c r="C28" s="25"/>
      <c r="D28" s="25"/>
      <c r="E28" s="24"/>
      <c r="F28" s="25"/>
      <c r="G28" s="25"/>
      <c r="H28" s="25"/>
      <c r="I28" s="25"/>
      <c r="J28" s="24"/>
      <c r="K28" s="25"/>
      <c r="L28" s="59"/>
      <c r="M28" s="20"/>
      <c r="N28" s="247" t="s">
        <v>202</v>
      </c>
      <c r="O28" s="250">
        <f>'3-Costs'!I58</f>
        <v>0</v>
      </c>
      <c r="Q28" s="248" t="s">
        <v>8</v>
      </c>
      <c r="R28" s="259">
        <f>VLOOKUP("NPV"&amp;B14,$U$23:$V$34,2,0)</f>
        <v>32564192.656421497</v>
      </c>
      <c r="U28" s="248" t="s">
        <v>96</v>
      </c>
      <c r="V28" s="256">
        <f>NPV('1-Description'!N29,'5-Assessment'!U40:U49)+U39</f>
        <v>32564192.656421497</v>
      </c>
      <c r="X28" s="257"/>
      <c r="Y28" s="257"/>
      <c r="Z28" s="257"/>
    </row>
    <row r="29" spans="2:26" ht="15.75" customHeight="1">
      <c r="B29" s="25"/>
      <c r="C29" s="25"/>
      <c r="D29" s="25"/>
      <c r="E29" s="24"/>
      <c r="F29" s="25"/>
      <c r="G29" s="25"/>
      <c r="H29" s="25"/>
      <c r="I29" s="25"/>
      <c r="J29" s="24"/>
      <c r="K29" s="25"/>
      <c r="L29" s="59"/>
      <c r="M29" s="20"/>
      <c r="N29" s="247" t="s">
        <v>203</v>
      </c>
      <c r="O29" s="250">
        <f>'3-Costs'!I66</f>
        <v>0</v>
      </c>
      <c r="Q29" s="248" t="s">
        <v>9</v>
      </c>
      <c r="R29" s="260">
        <f>IFERROR(VLOOKUP("ROI"&amp;B14,$U$23:$V$34,2,0),"-")</f>
        <v>4.190041021501667</v>
      </c>
      <c r="U29" s="248" t="s">
        <v>89</v>
      </c>
      <c r="V29" s="251">
        <f>V26/S35</f>
        <v>0.5088421546249835</v>
      </c>
    </row>
    <row r="30" spans="2:26" ht="15.75" customHeight="1">
      <c r="B30" s="25"/>
      <c r="C30" s="25"/>
      <c r="D30" s="25"/>
      <c r="E30" s="24"/>
      <c r="F30" s="25"/>
      <c r="G30" s="25"/>
      <c r="H30" s="25"/>
      <c r="I30" s="25"/>
      <c r="J30" s="24"/>
      <c r="K30" s="25"/>
      <c r="L30" s="59"/>
      <c r="M30" s="20"/>
      <c r="N30" s="247" t="s">
        <v>204</v>
      </c>
      <c r="O30" s="250">
        <f>'3-Costs'!I74</f>
        <v>215625</v>
      </c>
      <c r="Q30" s="248" t="s">
        <v>5</v>
      </c>
      <c r="R30" s="260">
        <f>IFERROR(VLOOKUP("IRR"&amp;B14,$U$23:$V$34,2,0),"-")</f>
        <v>7.2332229986821925</v>
      </c>
      <c r="U30" s="248" t="s">
        <v>90</v>
      </c>
      <c r="V30" s="251">
        <f>V27/S34</f>
        <v>1.8123072708486037</v>
      </c>
    </row>
    <row r="31" spans="2:26" ht="15.75" customHeight="1">
      <c r="B31" s="25"/>
      <c r="C31" s="25"/>
      <c r="D31" s="25"/>
      <c r="E31" s="24"/>
      <c r="F31" s="25"/>
      <c r="G31" s="25"/>
      <c r="H31" s="25"/>
      <c r="I31" s="25"/>
      <c r="J31" s="24"/>
      <c r="K31" s="25"/>
      <c r="L31" s="59"/>
      <c r="M31" s="20"/>
      <c r="N31" s="247" t="s">
        <v>205</v>
      </c>
      <c r="O31" s="250">
        <f>'3-Costs'!I82</f>
        <v>742500</v>
      </c>
      <c r="R31" s="248"/>
      <c r="U31" s="248" t="s">
        <v>91</v>
      </c>
      <c r="V31" s="251">
        <f>V28/S33</f>
        <v>4.190041021501667</v>
      </c>
    </row>
    <row r="32" spans="2:26" ht="15.75" customHeight="1">
      <c r="B32" s="25"/>
      <c r="C32" s="25"/>
      <c r="D32" s="25"/>
      <c r="E32" s="24"/>
      <c r="F32" s="25"/>
      <c r="G32" s="25"/>
      <c r="H32" s="25"/>
      <c r="I32" s="25"/>
      <c r="J32" s="24"/>
      <c r="K32" s="25"/>
      <c r="L32" s="59"/>
      <c r="M32" s="20"/>
      <c r="N32" s="247" t="s">
        <v>206</v>
      </c>
      <c r="O32" s="250">
        <f>'3-Costs'!I90</f>
        <v>0</v>
      </c>
      <c r="Q32" s="255" t="s">
        <v>104</v>
      </c>
      <c r="R32" s="248"/>
      <c r="U32" s="248" t="s">
        <v>92</v>
      </c>
      <c r="V32" s="251">
        <f>IRR(U63:U73)</f>
        <v>2.1066261509530295</v>
      </c>
    </row>
    <row r="33" spans="2:36" ht="15.75" customHeight="1">
      <c r="B33" s="25"/>
      <c r="C33" s="25"/>
      <c r="D33" s="25"/>
      <c r="E33" s="24"/>
      <c r="F33" s="25"/>
      <c r="G33" s="25"/>
      <c r="H33" s="25"/>
      <c r="I33" s="25"/>
      <c r="J33" s="24"/>
      <c r="K33" s="25"/>
      <c r="L33" s="59"/>
      <c r="M33" s="20"/>
      <c r="N33" s="247" t="s">
        <v>207</v>
      </c>
      <c r="O33" s="250">
        <f>'3-Costs'!I98</f>
        <v>36225</v>
      </c>
      <c r="Q33" s="248" t="s">
        <v>99</v>
      </c>
      <c r="R33" s="248"/>
      <c r="S33" s="256">
        <f>NPV('1-Description'!N29,'5-Assessment'!T40:T49)*-1+'5-Assessment'!T39*-1</f>
        <v>7771807.6002871282</v>
      </c>
      <c r="U33" s="248" t="s">
        <v>93</v>
      </c>
      <c r="V33" s="251">
        <f>IRR(U51:U61)</f>
        <v>4.1907028097500998</v>
      </c>
    </row>
    <row r="34" spans="2:36" ht="15.75" customHeight="1">
      <c r="B34" s="25"/>
      <c r="C34" s="25"/>
      <c r="D34" s="25"/>
      <c r="E34" s="24"/>
      <c r="F34" s="25"/>
      <c r="G34" s="25"/>
      <c r="H34" s="25"/>
      <c r="I34" s="25"/>
      <c r="J34" s="24"/>
      <c r="K34" s="25"/>
      <c r="L34" s="59"/>
      <c r="M34" s="20"/>
      <c r="N34" s="247" t="s">
        <v>208</v>
      </c>
      <c r="O34" s="250">
        <f>'3-Costs'!I106</f>
        <v>39819</v>
      </c>
      <c r="Q34" s="248" t="s">
        <v>100</v>
      </c>
      <c r="R34" s="248"/>
      <c r="S34" s="256">
        <f>NPV('1-Description'!N29,'5-Assessment'!T52:T61)*-1+'5-Assessment'!T51*-1</f>
        <v>10651121.666666666</v>
      </c>
      <c r="U34" s="248" t="s">
        <v>94</v>
      </c>
      <c r="V34" s="251">
        <f>IRR(U39:U49)</f>
        <v>7.2332229986821925</v>
      </c>
    </row>
    <row r="35" spans="2:36" ht="15.75" customHeight="1">
      <c r="B35" s="25"/>
      <c r="C35" s="25"/>
      <c r="D35" s="25"/>
      <c r="E35" s="24"/>
      <c r="F35" s="25"/>
      <c r="G35" s="25"/>
      <c r="H35" s="25"/>
      <c r="I35" s="25"/>
      <c r="J35" s="24"/>
      <c r="K35" s="25"/>
      <c r="L35" s="59"/>
      <c r="M35" s="20"/>
      <c r="N35" s="247" t="s">
        <v>209</v>
      </c>
      <c r="O35" s="250">
        <f>'3-Costs'!I114</f>
        <v>75133</v>
      </c>
      <c r="Q35" s="248" t="s">
        <v>101</v>
      </c>
      <c r="R35" s="248"/>
      <c r="S35" s="256">
        <f>NPV('1-Description'!N29,'5-Assessment'!T64:T73)*-1+'5-Assessment'!T63*-1</f>
        <v>14046349.702568715</v>
      </c>
      <c r="V35" s="249"/>
    </row>
    <row r="36" spans="2:36" ht="15.75" customHeight="1">
      <c r="B36" s="25"/>
      <c r="C36" s="25"/>
      <c r="D36" s="25"/>
      <c r="E36" s="24"/>
      <c r="F36" s="25"/>
      <c r="G36" s="25"/>
      <c r="H36" s="25"/>
      <c r="I36" s="25"/>
      <c r="J36" s="24"/>
      <c r="K36" s="25"/>
      <c r="L36" s="59"/>
      <c r="M36" s="20"/>
      <c r="N36" s="247" t="s">
        <v>210</v>
      </c>
      <c r="O36" s="250">
        <f>'3-Costs'!I86</f>
        <v>928125</v>
      </c>
      <c r="R36" s="248"/>
      <c r="V36" s="249"/>
    </row>
    <row r="37" spans="2:36" ht="15.75" customHeight="1">
      <c r="B37" s="25"/>
      <c r="C37" s="25"/>
      <c r="D37" s="25"/>
      <c r="E37" s="24"/>
      <c r="F37" s="25"/>
      <c r="G37" s="25"/>
      <c r="H37" s="25"/>
      <c r="I37" s="25"/>
      <c r="J37" s="24"/>
      <c r="K37" s="25"/>
      <c r="L37" s="59"/>
      <c r="M37" s="20"/>
      <c r="N37" s="247" t="s">
        <v>211</v>
      </c>
      <c r="O37" s="250">
        <f>'3-Costs'!I94</f>
        <v>0</v>
      </c>
      <c r="Q37" s="248" t="s">
        <v>105</v>
      </c>
      <c r="R37" s="248"/>
      <c r="V37" s="249"/>
      <c r="AF37" s="261" t="s">
        <v>105</v>
      </c>
      <c r="AG37" s="248"/>
    </row>
    <row r="38" spans="2:36" ht="15.75" customHeight="1">
      <c r="B38" s="25"/>
      <c r="C38" s="25"/>
      <c r="D38" s="25"/>
      <c r="E38" s="24"/>
      <c r="F38" s="25"/>
      <c r="G38" s="25"/>
      <c r="H38" s="25"/>
      <c r="I38" s="25"/>
      <c r="J38" s="24"/>
      <c r="K38" s="25"/>
      <c r="L38" s="59"/>
      <c r="M38" s="20"/>
      <c r="N38" s="247" t="s">
        <v>212</v>
      </c>
      <c r="O38" s="250">
        <f>'3-Costs'!I102</f>
        <v>45281.5</v>
      </c>
      <c r="Q38" s="262">
        <f>'1-Description'!E29</f>
        <v>10</v>
      </c>
      <c r="R38" s="261" t="s">
        <v>4</v>
      </c>
      <c r="S38" s="263" t="s">
        <v>158</v>
      </c>
      <c r="T38" s="263" t="s">
        <v>332</v>
      </c>
      <c r="U38" s="263" t="s">
        <v>152</v>
      </c>
      <c r="V38" s="263" t="s">
        <v>153</v>
      </c>
      <c r="W38" s="263" t="s">
        <v>159</v>
      </c>
      <c r="X38" s="263" t="s">
        <v>333</v>
      </c>
      <c r="Y38" s="263" t="s">
        <v>154</v>
      </c>
      <c r="Z38" s="263" t="s">
        <v>155</v>
      </c>
      <c r="AA38" s="263" t="s">
        <v>160</v>
      </c>
      <c r="AB38" s="263" t="s">
        <v>348</v>
      </c>
      <c r="AC38" s="263" t="s">
        <v>156</v>
      </c>
      <c r="AD38" s="263" t="s">
        <v>157</v>
      </c>
      <c r="AE38" s="263"/>
      <c r="AF38" s="262">
        <f>Q38</f>
        <v>10</v>
      </c>
      <c r="AG38" s="261" t="s">
        <v>4</v>
      </c>
      <c r="AH38" s="264" t="s">
        <v>392</v>
      </c>
      <c r="AI38" s="265" t="s">
        <v>393</v>
      </c>
      <c r="AJ38" s="263" t="s">
        <v>394</v>
      </c>
    </row>
    <row r="39" spans="2:36" ht="15.75" customHeight="1">
      <c r="B39" s="25"/>
      <c r="C39" s="25"/>
      <c r="D39" s="25"/>
      <c r="E39" s="24"/>
      <c r="F39" s="25"/>
      <c r="G39" s="25"/>
      <c r="H39" s="25"/>
      <c r="I39" s="25"/>
      <c r="J39" s="24"/>
      <c r="K39" s="25"/>
      <c r="L39" s="59"/>
      <c r="M39" s="20"/>
      <c r="N39" s="247" t="s">
        <v>213</v>
      </c>
      <c r="O39" s="250">
        <f>'3-Costs'!I110</f>
        <v>49773.5</v>
      </c>
      <c r="Q39" s="248" t="s">
        <v>57</v>
      </c>
      <c r="R39" s="266">
        <v>0</v>
      </c>
      <c r="S39" s="250">
        <v>0</v>
      </c>
      <c r="T39" s="250">
        <f>-'3-Costs'!E10</f>
        <v>-577100</v>
      </c>
      <c r="U39" s="250">
        <f>IF(OR(S39="",T39=""),"",S39+T39)</f>
        <v>-577100</v>
      </c>
      <c r="V39" s="250">
        <f>IF(U39="","",U39)</f>
        <v>-577100</v>
      </c>
      <c r="W39" s="250">
        <v>0</v>
      </c>
      <c r="X39" s="250">
        <f>-'3-Costs'!I10</f>
        <v>-721375</v>
      </c>
      <c r="Y39" s="250">
        <f>IF(OR(W39="",X39=""),"",W39-X39)</f>
        <v>721375</v>
      </c>
      <c r="Z39" s="250">
        <f>IF(Y39="","",Y39)</f>
        <v>721375</v>
      </c>
      <c r="AA39" s="250">
        <v>0</v>
      </c>
      <c r="AB39" s="250">
        <f>-'3-Costs'!G10</f>
        <v>-865650</v>
      </c>
      <c r="AC39" s="250">
        <f>IF(OR(AA39="",AB39=""),"",AA39-AB39)</f>
        <v>865650</v>
      </c>
      <c r="AD39" s="250">
        <f>IF(AC39="","",AC39)</f>
        <v>865650</v>
      </c>
      <c r="AE39" s="250"/>
      <c r="AF39" s="248" t="s">
        <v>57</v>
      </c>
      <c r="AG39" s="266">
        <v>0</v>
      </c>
      <c r="AH39" s="258">
        <v>0</v>
      </c>
      <c r="AI39" s="257">
        <f>T39</f>
        <v>-577100</v>
      </c>
      <c r="AJ39" s="250">
        <f>IF(OR(AH39="",AI39=""),"",AH39+AI39)</f>
        <v>-577100</v>
      </c>
    </row>
    <row r="40" spans="2:36" ht="15.75" customHeight="1">
      <c r="B40" s="25"/>
      <c r="C40" s="25"/>
      <c r="D40" s="25"/>
      <c r="E40" s="24"/>
      <c r="F40" s="25"/>
      <c r="G40" s="25"/>
      <c r="H40" s="25"/>
      <c r="I40" s="25"/>
      <c r="J40" s="24"/>
      <c r="K40" s="25"/>
      <c r="L40" s="59"/>
      <c r="M40" s="20"/>
      <c r="N40" s="247" t="s">
        <v>214</v>
      </c>
      <c r="O40" s="250">
        <f>'3-Costs'!I118</f>
        <v>93916.5</v>
      </c>
      <c r="Q40" s="248" t="s">
        <v>47</v>
      </c>
      <c r="R40" s="266">
        <v>1</v>
      </c>
      <c r="S40" s="250">
        <f>IF(COUNTIF($S$39:S39,"&gt;=0")&gt;$Q$38,"",'2-Value'!$E$9+'2-Value'!$E$16)</f>
        <v>5010260</v>
      </c>
      <c r="T40" s="250">
        <f>IF(COUNTIF($T$39:T39,"&lt;&gt;0")&gt;$Q$38,"",-'3-Costs'!$E$15)</f>
        <v>-893677</v>
      </c>
      <c r="U40" s="250">
        <f>IF(OR(S40="",T40=""),"",S40+T40)</f>
        <v>4116583</v>
      </c>
      <c r="V40" s="250">
        <f>IF(U40="","",U40+V39)</f>
        <v>3539483</v>
      </c>
      <c r="W40" s="250">
        <f>IF(COUNTIF($W$39:W39,"&gt;=0")&gt;$Q$38,"",'2-Value'!$I$9+'2-Value'!$I$16)</f>
        <v>4099800</v>
      </c>
      <c r="X40" s="250">
        <f>IF(COUNTIF($X$39:X39,"&lt;&gt;0")&gt;$Q$38,"",-'3-Costs'!$I$15)</f>
        <v>-1117096.5</v>
      </c>
      <c r="Y40" s="250">
        <f>IF(OR(W40="",X40=""),"",W40-X40)</f>
        <v>5216896.5</v>
      </c>
      <c r="Z40" s="250">
        <f>IF(Y40="","",Y40+Z39)</f>
        <v>5938271.5</v>
      </c>
      <c r="AA40" s="250">
        <f>IF(COUNTIF($AA$39:AA39,"&gt;=0")&gt;$Q$38,"",'2-Value'!$G$9+'2-Value'!$G$16)</f>
        <v>3189340</v>
      </c>
      <c r="AB40" s="250">
        <f>IF(COUNTIF($AB$39:AB39,"&lt;&gt;0")&gt;$Q$38,"",-'3-Costs'!$G$15)</f>
        <v>-1340516</v>
      </c>
      <c r="AC40" s="250">
        <f t="shared" ref="AC40:AC49" si="1">IF(OR(AA40="",AB40=""),"",AA40-AB40)</f>
        <v>4529856</v>
      </c>
      <c r="AD40" s="250">
        <f>IF(AC40="","",AC40+AD39)</f>
        <v>5395506</v>
      </c>
      <c r="AE40" s="250"/>
      <c r="AF40" s="248" t="s">
        <v>47</v>
      </c>
      <c r="AG40" s="266">
        <v>1</v>
      </c>
      <c r="AH40" s="258">
        <f>IFERROR(S40/(1+'1-Description'!$N$29)^R40,0)</f>
        <v>4453564.444444444</v>
      </c>
      <c r="AI40" s="258">
        <f>IFERROR(T40/(1+'1-Description'!$N$29)^AG40,0)</f>
        <v>-794379.5555555555</v>
      </c>
      <c r="AJ40" s="250">
        <f t="shared" ref="AJ40:AJ74" si="2">IF(OR(AH40="",AI40=""),"",AH40+AI40)</f>
        <v>3659184.8888888885</v>
      </c>
    </row>
    <row r="41" spans="2:36" ht="15.75" customHeight="1">
      <c r="B41" s="25"/>
      <c r="C41" s="25"/>
      <c r="D41" s="25"/>
      <c r="E41" s="24"/>
      <c r="F41" s="25"/>
      <c r="G41" s="25"/>
      <c r="H41" s="25"/>
      <c r="I41" s="25"/>
      <c r="J41" s="24"/>
      <c r="K41" s="25"/>
      <c r="L41" s="59"/>
      <c r="M41" s="20"/>
      <c r="N41" s="247" t="s">
        <v>215</v>
      </c>
      <c r="O41" s="250">
        <f>'3-Costs'!I84</f>
        <v>1113750</v>
      </c>
      <c r="Q41" s="248" t="s">
        <v>48</v>
      </c>
      <c r="R41" s="266">
        <v>2</v>
      </c>
      <c r="S41" s="250">
        <f>IF(COUNTIF($S$39:S40,"&gt;=0")&gt;$Q$38,"",S40*(1+'2-Value'!$E$21))</f>
        <v>5511286</v>
      </c>
      <c r="T41" s="250">
        <f>IF(COUNTIF($T$39:T40,"&lt;&gt;0")&gt;$Q$38,"",T40*(1+'3-Costs'!$E$18))</f>
        <v>-983044.70000000007</v>
      </c>
      <c r="U41" s="250">
        <f>IF(OR(S41="",T41=""),"",S41+T41)</f>
        <v>4528241.3</v>
      </c>
      <c r="V41" s="250">
        <f>IF(U41="","",U41+V40)</f>
        <v>8067724.2999999998</v>
      </c>
      <c r="W41" s="250">
        <f>IF(COUNTIF($W$39:W40,"&gt;=0")&gt;$Q$38,"",W40*(1+'2-Value'!$I$21))</f>
        <v>4407285</v>
      </c>
      <c r="X41" s="250">
        <f>IF(COUNTIF($X$39:X40,"&lt;&gt;0")&gt;$Q$38,"",X40*(1+'3-Costs'!$I$18))</f>
        <v>-1256733.5625</v>
      </c>
      <c r="Y41" s="250">
        <f>IF(OR(W41="",X41=""),"",W41-X41)</f>
        <v>5664018.5625</v>
      </c>
      <c r="Z41" s="250">
        <f t="shared" ref="Z41:Z47" si="3">IF(Y41="","",Y41+Z40)</f>
        <v>11602290.0625</v>
      </c>
      <c r="AA41" s="250">
        <f>IF(COUNTIF($AA$39:AA40,"&gt;=0")&gt;$Q$38,"",AA40*(1+'2-Value'!$G$21))</f>
        <v>3348807</v>
      </c>
      <c r="AB41" s="250">
        <f>IF(COUNTIF($AB$39:AB40,"&lt;&gt;0")&gt;$Q$38,"",AB40*(1+'3-Costs'!$G$18))</f>
        <v>-1541593.4</v>
      </c>
      <c r="AC41" s="250">
        <f>IF(OR(AA41="",AB41=""),"",AA41-AB41)</f>
        <v>4890400.4000000004</v>
      </c>
      <c r="AD41" s="250">
        <f t="shared" ref="AD41:AD49" si="4">IF(AC41="","",AC41+AD40)</f>
        <v>10285906.4</v>
      </c>
      <c r="AE41" s="250"/>
      <c r="AF41" s="248" t="s">
        <v>48</v>
      </c>
      <c r="AG41" s="266">
        <v>2</v>
      </c>
      <c r="AH41" s="258">
        <f>IFERROR(S41/(1+'1-Description'!$N$29)^R41,0)</f>
        <v>4354596.3456790121</v>
      </c>
      <c r="AI41" s="258">
        <f>IFERROR(T41/(1+'1-Description'!$N$29)^AG41,0)</f>
        <v>-776726.67654320993</v>
      </c>
      <c r="AJ41" s="250">
        <f t="shared" si="2"/>
        <v>3577869.6691358024</v>
      </c>
    </row>
    <row r="42" spans="2:36" ht="15.75" customHeight="1">
      <c r="B42" s="25"/>
      <c r="C42" s="25"/>
      <c r="D42" s="25"/>
      <c r="E42" s="24"/>
      <c r="F42" s="25"/>
      <c r="G42" s="25"/>
      <c r="H42" s="25"/>
      <c r="I42" s="25"/>
      <c r="J42" s="24"/>
      <c r="K42" s="25"/>
      <c r="L42" s="59"/>
      <c r="M42" s="20"/>
      <c r="N42" s="247" t="s">
        <v>216</v>
      </c>
      <c r="O42" s="250">
        <f>'3-Costs'!I92</f>
        <v>0</v>
      </c>
      <c r="Q42" s="248" t="s">
        <v>49</v>
      </c>
      <c r="R42" s="266">
        <v>3</v>
      </c>
      <c r="S42" s="250">
        <f>IF(COUNTIF($S$39:S41,"&gt;=0")&gt;$Q$38,"",S41*(1+'2-Value'!$E$21))</f>
        <v>6062414.6000000006</v>
      </c>
      <c r="T42" s="250">
        <f>IF(COUNTIF($T$39:T41,"&lt;&gt;0")&gt;$Q$38,"",T41*(1+'3-Costs'!$E$18))</f>
        <v>-1081349.1700000002</v>
      </c>
      <c r="U42" s="250">
        <f t="shared" ref="U42:U49" si="5">IF(OR(S42="",T42=""),"",S42+T42)</f>
        <v>4981065.4300000006</v>
      </c>
      <c r="V42" s="250">
        <f t="shared" ref="V42:V49" si="6">IF(U42="","",U42+V41)</f>
        <v>13048789.73</v>
      </c>
      <c r="W42" s="250">
        <f>IF(COUNTIF($W$39:W41,"&gt;=0")&gt;$Q$38,"",W41*(1+'2-Value'!$I$21))</f>
        <v>4737831.375</v>
      </c>
      <c r="X42" s="250">
        <f>IF(COUNTIF($X$39:X41,"&lt;&gt;0")&gt;$Q$38,"",X41*(1+'3-Costs'!$I$18))</f>
        <v>-1413825.2578125</v>
      </c>
      <c r="Y42" s="250">
        <f t="shared" ref="Y42:Y49" si="7">IF(OR(W42="",X42=""),"",W42-X42)</f>
        <v>6151656.6328125</v>
      </c>
      <c r="Z42" s="250">
        <f t="shared" si="3"/>
        <v>17753946.6953125</v>
      </c>
      <c r="AA42" s="250">
        <f>IF(COUNTIF($AA$39:AA41,"&gt;=0")&gt;$Q$38,"",AA41*(1+'2-Value'!$G$21))</f>
        <v>3516247.35</v>
      </c>
      <c r="AB42" s="250">
        <f>IF(COUNTIF($AB$39:AB41,"&lt;&gt;0")&gt;$Q$38,"",AB41*(1+'3-Costs'!$G$18))</f>
        <v>-1772832.4099999997</v>
      </c>
      <c r="AC42" s="250">
        <f t="shared" si="1"/>
        <v>5289079.76</v>
      </c>
      <c r="AD42" s="250">
        <f>IF(AC42="","",AC42+AD41)</f>
        <v>15574986.16</v>
      </c>
      <c r="AE42" s="250"/>
      <c r="AF42" s="248" t="s">
        <v>49</v>
      </c>
      <c r="AG42" s="266">
        <v>3</v>
      </c>
      <c r="AH42" s="258">
        <f>IFERROR(S42/(1+'1-Description'!$N$29)^R42,0)</f>
        <v>4257827.537997257</v>
      </c>
      <c r="AI42" s="258">
        <f>IFERROR(T42/(1+'1-Description'!$N$29)^AG42,0)</f>
        <v>-759466.08373113861</v>
      </c>
      <c r="AJ42" s="250">
        <f t="shared" si="2"/>
        <v>3498361.4542661184</v>
      </c>
    </row>
    <row r="43" spans="2:36" ht="15.75" customHeight="1">
      <c r="B43" s="25"/>
      <c r="C43" s="25"/>
      <c r="D43" s="25"/>
      <c r="E43" s="24"/>
      <c r="F43" s="25"/>
      <c r="G43" s="25"/>
      <c r="H43" s="25"/>
      <c r="I43" s="25"/>
      <c r="J43" s="24"/>
      <c r="K43" s="25"/>
      <c r="L43" s="59"/>
      <c r="M43" s="20"/>
      <c r="N43" s="247" t="s">
        <v>217</v>
      </c>
      <c r="O43" s="250">
        <f>'3-Costs'!I100</f>
        <v>54338</v>
      </c>
      <c r="Q43" s="248" t="s">
        <v>50</v>
      </c>
      <c r="R43" s="266">
        <v>4</v>
      </c>
      <c r="S43" s="250">
        <f>IF(COUNTIF($S$39:S42,"&gt;=0")&gt;$Q$38,"",S42*(1+'2-Value'!$E$21))</f>
        <v>6668656.0600000015</v>
      </c>
      <c r="T43" s="250">
        <f>IF(COUNTIF($T$39:T42,"&lt;&gt;0")&gt;$Q$38,"",T42*(1+'3-Costs'!$E$18))</f>
        <v>-1189484.0870000003</v>
      </c>
      <c r="U43" s="250">
        <f t="shared" si="5"/>
        <v>5479171.9730000012</v>
      </c>
      <c r="V43" s="250">
        <f>IF(U43="","",U43+V42)</f>
        <v>18527961.703000002</v>
      </c>
      <c r="W43" s="250">
        <f>IF(COUNTIF($W$39:W42,"&gt;=0")&gt;$Q$38,"",W42*(1+'2-Value'!$I$21))</f>
        <v>5093168.7281249994</v>
      </c>
      <c r="X43" s="250">
        <f>IF(COUNTIF($X$39:X42,"&lt;&gt;0")&gt;$Q$38,"",X42*(1+'3-Costs'!$I$18))</f>
        <v>-1590553.4150390625</v>
      </c>
      <c r="Y43" s="250">
        <f t="shared" si="7"/>
        <v>6683722.1431640619</v>
      </c>
      <c r="Z43" s="250">
        <f t="shared" si="3"/>
        <v>24437668.838476561</v>
      </c>
      <c r="AA43" s="250">
        <f>IF(COUNTIF($AA$39:AA42,"&gt;=0")&gt;$Q$38,"",AA42*(1+'2-Value'!$G$21))</f>
        <v>3692059.7175000003</v>
      </c>
      <c r="AB43" s="250">
        <f>IF(COUNTIF($AB$39:AB42,"&lt;&gt;0")&gt;$Q$38,"",AB42*(1+'3-Costs'!$G$18))</f>
        <v>-2038757.2714999996</v>
      </c>
      <c r="AC43" s="250">
        <f t="shared" si="1"/>
        <v>5730816.9890000001</v>
      </c>
      <c r="AD43" s="250">
        <f t="shared" si="4"/>
        <v>21305803.149</v>
      </c>
      <c r="AE43" s="250"/>
      <c r="AF43" s="248" t="s">
        <v>50</v>
      </c>
      <c r="AG43" s="266">
        <v>4</v>
      </c>
      <c r="AH43" s="258">
        <f>IFERROR(S43/(1+'1-Description'!$N$29)^R43,0)</f>
        <v>4163209.1482639848</v>
      </c>
      <c r="AI43" s="258">
        <f>IFERROR(T43/(1+'1-Description'!$N$29)^AG43,0)</f>
        <v>-742589.0596482245</v>
      </c>
      <c r="AJ43" s="250">
        <f t="shared" si="2"/>
        <v>3420620.0886157602</v>
      </c>
    </row>
    <row r="44" spans="2:36" ht="15.75" customHeight="1">
      <c r="B44" s="25"/>
      <c r="C44" s="25"/>
      <c r="D44" s="25"/>
      <c r="E44" s="24"/>
      <c r="F44" s="25"/>
      <c r="G44" s="25"/>
      <c r="H44" s="25"/>
      <c r="I44" s="25"/>
      <c r="J44" s="24"/>
      <c r="K44" s="25"/>
      <c r="L44" s="59"/>
      <c r="M44" s="20"/>
      <c r="N44" s="247" t="s">
        <v>218</v>
      </c>
      <c r="O44" s="250">
        <f>'3-Costs'!I108</f>
        <v>59728</v>
      </c>
      <c r="Q44" s="248" t="s">
        <v>51</v>
      </c>
      <c r="R44" s="266">
        <v>5</v>
      </c>
      <c r="S44" s="250">
        <f>IF(COUNTIF($S$39:S43,"&gt;=0")&gt;$Q$38,"",S43*(1+'2-Value'!$E$21))</f>
        <v>7335521.6660000021</v>
      </c>
      <c r="T44" s="250">
        <f>IF(COUNTIF($T$39:T43,"&lt;&gt;0")&gt;$Q$38,"",T43*(1+'3-Costs'!$E$18))</f>
        <v>-1308432.4957000003</v>
      </c>
      <c r="U44" s="250">
        <f>IF(OR(S44="",T44=""),"",S44+T44)</f>
        <v>6027089.1703000013</v>
      </c>
      <c r="V44" s="250">
        <f>IF(U44="","",U44+V43)</f>
        <v>24555050.873300001</v>
      </c>
      <c r="W44" s="250">
        <f>IF(COUNTIF($W$39:W43,"&gt;=0")&gt;$Q$38,"",W43*(1+'2-Value'!$I$21))</f>
        <v>5475156.3827343741</v>
      </c>
      <c r="X44" s="250">
        <f>IF(COUNTIF($X$39:X43,"&lt;&gt;0")&gt;$Q$38,"",X43*(1+'3-Costs'!$I$18))</f>
        <v>-1789372.5919189453</v>
      </c>
      <c r="Y44" s="250">
        <f t="shared" si="7"/>
        <v>7264528.9746533195</v>
      </c>
      <c r="Z44" s="250">
        <f>IF(Y44="","",Y44+Z43)</f>
        <v>31702197.81312988</v>
      </c>
      <c r="AA44" s="250">
        <f>IF(COUNTIF($AA$39:AA43,"&gt;=0")&gt;$Q$38,"",AA43*(1+'2-Value'!$G$21))</f>
        <v>3876662.7033750005</v>
      </c>
      <c r="AB44" s="250">
        <f>IF(COUNTIF($AB$39:AB43,"&lt;&gt;0")&gt;$Q$38,"",AB43*(1+'3-Costs'!$G$18))</f>
        <v>-2344570.8622249993</v>
      </c>
      <c r="AC44" s="250">
        <f t="shared" si="1"/>
        <v>6221233.5656000003</v>
      </c>
      <c r="AD44" s="250">
        <f t="shared" si="4"/>
        <v>27527036.714600001</v>
      </c>
      <c r="AE44" s="250"/>
      <c r="AF44" s="248" t="s">
        <v>51</v>
      </c>
      <c r="AG44" s="266">
        <v>5</v>
      </c>
      <c r="AH44" s="258">
        <f>IFERROR(S44/(1+'1-Description'!$N$29)^R44,0)</f>
        <v>4070693.3894136744</v>
      </c>
      <c r="AI44" s="258">
        <f>IFERROR(T44/(1+'1-Description'!$N$29)^AG44,0)</f>
        <v>-726087.08054493065</v>
      </c>
      <c r="AJ44" s="250">
        <f t="shared" si="2"/>
        <v>3344606.3088687435</v>
      </c>
    </row>
    <row r="45" spans="2:36" ht="15.75" customHeight="1">
      <c r="B45" s="25"/>
      <c r="C45" s="25"/>
      <c r="D45" s="25"/>
      <c r="E45" s="24"/>
      <c r="F45" s="25"/>
      <c r="G45" s="25"/>
      <c r="H45" s="25"/>
      <c r="I45" s="25"/>
      <c r="J45" s="24"/>
      <c r="K45" s="25"/>
      <c r="L45" s="59"/>
      <c r="M45" s="20"/>
      <c r="N45" s="247" t="s">
        <v>219</v>
      </c>
      <c r="O45" s="250">
        <f>'3-Costs'!I116</f>
        <v>112700</v>
      </c>
      <c r="Q45" s="248" t="s">
        <v>52</v>
      </c>
      <c r="R45" s="266">
        <v>6</v>
      </c>
      <c r="S45" s="250">
        <f>IF(COUNTIF($S$39:S44,"&gt;=0")&gt;$Q$38,"",S44*(1+'2-Value'!$E$21))</f>
        <v>8069073.8326000031</v>
      </c>
      <c r="T45" s="250">
        <f>IF(COUNTIF($T$39:T44,"&lt;&gt;0")&gt;$Q$38,"",T44*(1+'3-Costs'!$E$18))</f>
        <v>-1439275.7452700005</v>
      </c>
      <c r="U45" s="250">
        <f t="shared" si="5"/>
        <v>6629798.0873300023</v>
      </c>
      <c r="V45" s="250">
        <f t="shared" si="6"/>
        <v>31184848.960630003</v>
      </c>
      <c r="W45" s="250">
        <f>IF(COUNTIF($W$39:W44,"&gt;=0")&gt;$Q$38,"",W44*(1+'2-Value'!$I$21))</f>
        <v>5885793.1114394516</v>
      </c>
      <c r="X45" s="250">
        <f>IF(COUNTIF($X$39:X44,"&lt;&gt;0")&gt;$Q$38,"",X44*(1+'3-Costs'!$I$18))</f>
        <v>-2013044.1659088135</v>
      </c>
      <c r="Y45" s="250">
        <f t="shared" si="7"/>
        <v>7898837.2773482651</v>
      </c>
      <c r="Z45" s="250">
        <f t="shared" si="3"/>
        <v>39601035.090478145</v>
      </c>
      <c r="AA45" s="250">
        <f>IF(COUNTIF($AA$39:AA44,"&gt;=0")&gt;$Q$38,"",AA44*(1+'2-Value'!$G$21))</f>
        <v>4070495.8385437508</v>
      </c>
      <c r="AB45" s="250">
        <f>IF(COUNTIF($AB$39:AB44,"&lt;&gt;0")&gt;$Q$38,"",AB44*(1+'3-Costs'!$G$18))</f>
        <v>-2696256.4915587492</v>
      </c>
      <c r="AC45" s="250">
        <f>IF(OR(AA45="",AB45=""),"",AA45-AB45)</f>
        <v>6766752.3301024996</v>
      </c>
      <c r="AD45" s="250">
        <f>IF(AC45="","",AC45+AD44)</f>
        <v>34293789.0447025</v>
      </c>
      <c r="AE45" s="250"/>
      <c r="AF45" s="248" t="s">
        <v>52</v>
      </c>
      <c r="AG45" s="266">
        <v>6</v>
      </c>
      <c r="AH45" s="258">
        <f>IFERROR(S45/(1+'1-Description'!$N$29)^R45,0)</f>
        <v>3980233.5363155934</v>
      </c>
      <c r="AI45" s="258">
        <f>IFERROR(T45/(1+'1-Description'!$N$29)^AG45,0)</f>
        <v>-709951.81208837673</v>
      </c>
      <c r="AJ45" s="250">
        <f t="shared" si="2"/>
        <v>3270281.7242272166</v>
      </c>
    </row>
    <row r="46" spans="2:36" ht="15.75" customHeight="1">
      <c r="B46" s="25"/>
      <c r="C46" s="25"/>
      <c r="D46" s="25"/>
      <c r="E46" s="24"/>
      <c r="F46" s="25"/>
      <c r="G46" s="25"/>
      <c r="H46" s="25"/>
      <c r="I46" s="25"/>
      <c r="J46" s="24"/>
      <c r="K46" s="25"/>
      <c r="L46" s="59"/>
      <c r="M46" s="20"/>
      <c r="N46" s="247"/>
      <c r="Q46" s="248" t="s">
        <v>53</v>
      </c>
      <c r="R46" s="266">
        <v>7</v>
      </c>
      <c r="S46" s="250">
        <f>IF(COUNTIF($S$39:S45,"&gt;=0")&gt;$Q$38,"",S45*(1+'2-Value'!$E$21))</f>
        <v>8875981.2158600036</v>
      </c>
      <c r="T46" s="250">
        <f>IF(COUNTIF($T$39:T45,"&lt;&gt;0")&gt;$Q$38,"",T45*(1+'3-Costs'!$E$18))</f>
        <v>-1583203.3197970006</v>
      </c>
      <c r="U46" s="250">
        <f t="shared" si="5"/>
        <v>7292777.8960630028</v>
      </c>
      <c r="V46" s="250">
        <f t="shared" si="6"/>
        <v>38477626.856693007</v>
      </c>
      <c r="W46" s="250">
        <f>IF(COUNTIF($W$39:W45,"&gt;=0")&gt;$Q$38,"",W45*(1+'2-Value'!$I$21))</f>
        <v>6327227.5947974101</v>
      </c>
      <c r="X46" s="250">
        <f>IF(COUNTIF($X$39:X45,"&lt;&gt;0")&gt;$Q$38,"",X45*(1+'3-Costs'!$I$18))</f>
        <v>-2264674.6866474152</v>
      </c>
      <c r="Y46" s="250">
        <f t="shared" si="7"/>
        <v>8591902.2814448252</v>
      </c>
      <c r="Z46" s="250">
        <f t="shared" si="3"/>
        <v>48192937.37192297</v>
      </c>
      <c r="AA46" s="250">
        <f>IF(COUNTIF($AA$39:AA45,"&gt;=0")&gt;$Q$38,"",AA45*(1+'2-Value'!$G$21))</f>
        <v>4274020.630470939</v>
      </c>
      <c r="AB46" s="250">
        <f>IF(COUNTIF($AB$39:AB45,"&lt;&gt;0")&gt;$Q$38,"",AB45*(1+'3-Costs'!$G$18))</f>
        <v>-3100694.9652925613</v>
      </c>
      <c r="AC46" s="250">
        <f t="shared" si="1"/>
        <v>7374715.5957635008</v>
      </c>
      <c r="AD46" s="250">
        <f t="shared" si="4"/>
        <v>41668504.640466005</v>
      </c>
      <c r="AE46" s="250"/>
      <c r="AF46" s="248" t="s">
        <v>53</v>
      </c>
      <c r="AG46" s="266">
        <v>7</v>
      </c>
      <c r="AH46" s="258">
        <f>IFERROR(S46/(1+'1-Description'!$N$29)^R46,0)</f>
        <v>3891783.9021752467</v>
      </c>
      <c r="AI46" s="258">
        <f>IFERROR(T46/(1+'1-Description'!$N$29)^AG46,0)</f>
        <v>-694175.10515307949</v>
      </c>
      <c r="AJ46" s="250">
        <f t="shared" si="2"/>
        <v>3197608.7970221671</v>
      </c>
    </row>
    <row r="47" spans="2:36" ht="15.75" customHeight="1">
      <c r="B47" s="25"/>
      <c r="C47" s="25"/>
      <c r="D47" s="25"/>
      <c r="E47" s="24"/>
      <c r="F47" s="25"/>
      <c r="G47" s="25"/>
      <c r="H47" s="25"/>
      <c r="I47" s="25"/>
      <c r="J47" s="24"/>
      <c r="K47" s="25"/>
      <c r="L47" s="59"/>
      <c r="M47" s="20"/>
      <c r="N47" s="247"/>
      <c r="Q47" s="248" t="s">
        <v>54</v>
      </c>
      <c r="R47" s="266">
        <v>8</v>
      </c>
      <c r="S47" s="250">
        <f>IF(COUNTIF($S$39:S46,"&gt;=0")&gt;$Q$38,"",S46*(1+'2-Value'!$E$21))</f>
        <v>9763579.3374460042</v>
      </c>
      <c r="T47" s="250">
        <f>IF(COUNTIF($T$39:T46,"&lt;&gt;0")&gt;$Q$38,"",T46*(1+'3-Costs'!$E$18))</f>
        <v>-1741523.6517767007</v>
      </c>
      <c r="U47" s="250">
        <f t="shared" si="5"/>
        <v>8022055.6856693029</v>
      </c>
      <c r="V47" s="250">
        <f t="shared" si="6"/>
        <v>46499682.54236231</v>
      </c>
      <c r="W47" s="250">
        <f>IF(COUNTIF($W$39:W46,"&gt;=0")&gt;$Q$38,"",W46*(1+'2-Value'!$I$21))</f>
        <v>6801769.6644072151</v>
      </c>
      <c r="X47" s="250">
        <f>IF(COUNTIF($X$39:X46,"&lt;&gt;0")&gt;$Q$38,"",X46*(1+'3-Costs'!$I$18))</f>
        <v>-2547759.0224783421</v>
      </c>
      <c r="Y47" s="250">
        <f t="shared" si="7"/>
        <v>9349528.6868855581</v>
      </c>
      <c r="Z47" s="250">
        <f t="shared" si="3"/>
        <v>57542466.058808528</v>
      </c>
      <c r="AA47" s="250">
        <f>IF(COUNTIF($AA$39:AA46,"&gt;=0")&gt;$Q$38,"",AA46*(1+'2-Value'!$G$21))</f>
        <v>4487721.6619944861</v>
      </c>
      <c r="AB47" s="250">
        <f>IF(COUNTIF($AB$39:AB46,"&lt;&gt;0")&gt;$Q$38,"",AB46*(1+'3-Costs'!$G$18))</f>
        <v>-3565799.2100864453</v>
      </c>
      <c r="AC47" s="250">
        <f t="shared" si="1"/>
        <v>8053520.8720809314</v>
      </c>
      <c r="AD47" s="250">
        <f t="shared" si="4"/>
        <v>49722025.512546934</v>
      </c>
      <c r="AE47" s="250"/>
      <c r="AF47" s="248" t="s">
        <v>54</v>
      </c>
      <c r="AG47" s="266">
        <v>8</v>
      </c>
      <c r="AH47" s="258">
        <f>IFERROR(S47/(1+'1-Description'!$N$29)^R47,0)</f>
        <v>3805299.8154602414</v>
      </c>
      <c r="AI47" s="258">
        <f>IFERROR(T47/(1+'1-Description'!$N$29)^AG47,0)</f>
        <v>-678748.99170523335</v>
      </c>
      <c r="AJ47" s="250">
        <f t="shared" si="2"/>
        <v>3126550.8237550082</v>
      </c>
    </row>
    <row r="48" spans="2:36" ht="15.75" customHeight="1">
      <c r="B48" s="25"/>
      <c r="C48" s="25"/>
      <c r="D48" s="25"/>
      <c r="E48" s="24"/>
      <c r="F48" s="25"/>
      <c r="G48" s="25"/>
      <c r="H48" s="25"/>
      <c r="I48" s="25"/>
      <c r="J48" s="24"/>
      <c r="K48" s="25"/>
      <c r="L48" s="59"/>
      <c r="M48" s="20"/>
      <c r="N48" s="247"/>
      <c r="Q48" s="248" t="s">
        <v>55</v>
      </c>
      <c r="R48" s="266">
        <v>9</v>
      </c>
      <c r="S48" s="250">
        <f>IF(COUNTIF($S$39:S47,"&gt;=0")&gt;$Q$38,"",S47*(1+'2-Value'!$E$21))</f>
        <v>10739937.271190606</v>
      </c>
      <c r="T48" s="250">
        <f>IF(COUNTIF($T$39:T47,"&lt;&gt;0")&gt;$Q$38,"",T47*(1+'3-Costs'!$E$18))</f>
        <v>-1915676.016954371</v>
      </c>
      <c r="U48" s="250">
        <f t="shared" si="5"/>
        <v>8824261.2542362344</v>
      </c>
      <c r="V48" s="250">
        <f t="shared" si="6"/>
        <v>55323943.796598546</v>
      </c>
      <c r="W48" s="250">
        <f>IF(COUNTIF($W$39:W47,"&gt;=0")&gt;$Q$38,"",W47*(1+'2-Value'!$I$21))</f>
        <v>7311902.3892377559</v>
      </c>
      <c r="X48" s="250">
        <f>IF(COUNTIF($X$39:X47,"&lt;&gt;0")&gt;$Q$38,"",X47*(1+'3-Costs'!$I$18))</f>
        <v>-2866228.9002881348</v>
      </c>
      <c r="Y48" s="250">
        <f>IF(OR(W48="",X48=""),"",W48-X48)</f>
        <v>10178131.289525891</v>
      </c>
      <c r="Z48" s="250">
        <f>IF(Y48="","",Y48+Z47)</f>
        <v>67720597.348334417</v>
      </c>
      <c r="AA48" s="250">
        <f>IF(COUNTIF($AA$39:AA47,"&gt;=0")&gt;$Q$38,"",AA47*(1+'2-Value'!$G$21))</f>
        <v>4712107.7450942108</v>
      </c>
      <c r="AB48" s="250">
        <f>IF(COUNTIF($AB$39:AB47,"&lt;&gt;0")&gt;$Q$38,"",AB47*(1+'3-Costs'!$G$18))</f>
        <v>-4100669.0915994118</v>
      </c>
      <c r="AC48" s="250">
        <f t="shared" si="1"/>
        <v>8812776.8366936222</v>
      </c>
      <c r="AD48" s="250">
        <f t="shared" si="4"/>
        <v>58534802.349240556</v>
      </c>
      <c r="AE48" s="250"/>
      <c r="AF48" s="248" t="s">
        <v>55</v>
      </c>
      <c r="AG48" s="266">
        <v>9</v>
      </c>
      <c r="AH48" s="258">
        <f>IFERROR(S48/(1+'1-Description'!$N$29)^R48,0)</f>
        <v>3720737.5973389032</v>
      </c>
      <c r="AI48" s="258">
        <f>IFERROR(T48/(1+'1-Description'!$N$29)^AG48,0)</f>
        <v>-663665.68077845045</v>
      </c>
      <c r="AJ48" s="250">
        <f t="shared" si="2"/>
        <v>3057071.9165604529</v>
      </c>
    </row>
    <row r="49" spans="2:36" ht="15.75" customHeight="1">
      <c r="B49" s="25"/>
      <c r="C49" s="25"/>
      <c r="D49" s="25"/>
      <c r="E49" s="24"/>
      <c r="F49" s="25"/>
      <c r="G49" s="25"/>
      <c r="H49" s="25"/>
      <c r="I49" s="25"/>
      <c r="J49" s="24"/>
      <c r="K49" s="25"/>
      <c r="L49" s="59"/>
      <c r="M49" s="20"/>
      <c r="N49" s="247"/>
      <c r="Q49" s="248" t="s">
        <v>56</v>
      </c>
      <c r="R49" s="266">
        <v>10</v>
      </c>
      <c r="S49" s="250">
        <f>IF(COUNTIF($S$39:S48,"&gt;=0")&gt;$Q$38,"",S48*(1+'2-Value'!$E$21))</f>
        <v>11813930.998309668</v>
      </c>
      <c r="T49" s="250">
        <f>IF(COUNTIF($T$39:T48,"&lt;&gt;0")&gt;$Q$38,"",T48*(1+'3-Costs'!$E$18))</f>
        <v>-2107243.6186498082</v>
      </c>
      <c r="U49" s="250">
        <f t="shared" si="5"/>
        <v>9706687.3796598595</v>
      </c>
      <c r="V49" s="250">
        <f t="shared" si="6"/>
        <v>65030631.176258408</v>
      </c>
      <c r="W49" s="250">
        <f>IF(COUNTIF($W$39:W48,"&gt;=0")&gt;$Q$38,"",W48*(1+'2-Value'!$I$21))</f>
        <v>7860295.0684305876</v>
      </c>
      <c r="X49" s="250">
        <f>IF(COUNTIF($X$39:X48,"&lt;&gt;0")&gt;$Q$38,"",X48*(1+'3-Costs'!$I$18))</f>
        <v>-3224507.5128241517</v>
      </c>
      <c r="Y49" s="250">
        <f t="shared" si="7"/>
        <v>11084802.581254739</v>
      </c>
      <c r="Z49" s="250">
        <f>IF(Y49="","",Y49+Z48)</f>
        <v>78805399.929589152</v>
      </c>
      <c r="AA49" s="250">
        <f>IF(COUNTIF($AA$39:AA48,"&gt;=0")&gt;$Q$38,"",AA48*(1+'2-Value'!$G$21))</f>
        <v>4947713.1323489211</v>
      </c>
      <c r="AB49" s="250">
        <f>IF(COUNTIF($AB$39:AB48,"&lt;&gt;0")&gt;$Q$38,"",AB48*(1+'3-Costs'!$G$18))</f>
        <v>-4715769.4553393228</v>
      </c>
      <c r="AC49" s="250">
        <f t="shared" si="1"/>
        <v>9663482.5876882449</v>
      </c>
      <c r="AD49" s="250">
        <f t="shared" si="4"/>
        <v>68198284.936928809</v>
      </c>
      <c r="AE49" s="250"/>
      <c r="AF49" s="248" t="s">
        <v>56</v>
      </c>
      <c r="AG49" s="266">
        <v>10</v>
      </c>
      <c r="AH49" s="258">
        <f>IFERROR(S49/(1+'1-Description'!$N$29)^R49,0)</f>
        <v>3638054.5396202616</v>
      </c>
      <c r="AI49" s="258">
        <f>IFERROR(T49/(1+'1-Description'!$N$29)^AG49,0)</f>
        <v>-648917.55453892937</v>
      </c>
      <c r="AJ49" s="250">
        <f t="shared" si="2"/>
        <v>2989136.9850813323</v>
      </c>
    </row>
    <row r="50" spans="2:36" ht="15.75" customHeight="1">
      <c r="B50" s="25"/>
      <c r="C50" s="25"/>
      <c r="D50" s="25"/>
      <c r="E50" s="24"/>
      <c r="F50" s="25"/>
      <c r="G50" s="25"/>
      <c r="H50" s="25"/>
      <c r="I50" s="25"/>
      <c r="J50" s="24"/>
      <c r="K50" s="25"/>
      <c r="L50" s="59"/>
      <c r="M50" s="20"/>
      <c r="N50" s="247"/>
      <c r="Q50" s="248" t="s">
        <v>97</v>
      </c>
      <c r="R50" s="266"/>
      <c r="S50" s="250">
        <f>SUM(S39:S49)</f>
        <v>79850640.981406301</v>
      </c>
      <c r="T50" s="250">
        <f>SUM(T39:T49)</f>
        <v>-14820009.805147883</v>
      </c>
      <c r="U50" s="250">
        <f t="shared" ref="U50:AD50" si="8">SUM(U39:U49)</f>
        <v>65030631.176258408</v>
      </c>
      <c r="V50" s="250">
        <f t="shared" si="8"/>
        <v>303678642.93884224</v>
      </c>
      <c r="W50" s="250">
        <f t="shared" si="8"/>
        <v>58000229.314171791</v>
      </c>
      <c r="X50" s="250">
        <f t="shared" si="8"/>
        <v>-20805170.615417365</v>
      </c>
      <c r="Y50" s="250">
        <f t="shared" si="8"/>
        <v>78805399.929589152</v>
      </c>
      <c r="Z50" s="250">
        <f t="shared" si="8"/>
        <v>384018185.70855218</v>
      </c>
      <c r="AA50" s="250">
        <f t="shared" si="8"/>
        <v>40115175.779327303</v>
      </c>
      <c r="AB50" s="250">
        <f t="shared" si="8"/>
        <v>-28083109.157601491</v>
      </c>
      <c r="AC50" s="250">
        <f t="shared" si="8"/>
        <v>68198284.936928809</v>
      </c>
      <c r="AD50" s="250">
        <f t="shared" si="8"/>
        <v>333372294.90748483</v>
      </c>
      <c r="AE50" s="250"/>
      <c r="AF50" s="261" t="s">
        <v>97</v>
      </c>
      <c r="AG50" s="262"/>
      <c r="AH50" s="267">
        <f>SUM(AH39:AH49)</f>
        <v>40336000.256708622</v>
      </c>
      <c r="AI50" s="267">
        <f>SUM(AI39:AI49)</f>
        <v>-7771807.6002871282</v>
      </c>
      <c r="AJ50" s="268">
        <f t="shared" si="2"/>
        <v>32564192.656421494</v>
      </c>
    </row>
    <row r="51" spans="2:36" ht="15.75" customHeight="1">
      <c r="B51" s="25"/>
      <c r="C51" s="25"/>
      <c r="D51" s="25"/>
      <c r="E51" s="24"/>
      <c r="F51" s="25"/>
      <c r="G51" s="25"/>
      <c r="H51" s="25"/>
      <c r="I51" s="25"/>
      <c r="J51" s="24"/>
      <c r="K51" s="25"/>
      <c r="L51" s="59"/>
      <c r="M51" s="20"/>
      <c r="N51" s="247"/>
      <c r="Q51" s="248" t="s">
        <v>58</v>
      </c>
      <c r="R51" s="266">
        <v>0</v>
      </c>
      <c r="S51" s="250">
        <v>0</v>
      </c>
      <c r="T51" s="250">
        <f>-'3-Costs'!I10</f>
        <v>-721375</v>
      </c>
      <c r="U51" s="250">
        <f t="shared" ref="U51:U61" si="9">IF(OR(S51="",T51=""),"",S51+T51)</f>
        <v>-721375</v>
      </c>
      <c r="V51" s="250">
        <f>IF(U51="","",U51)</f>
        <v>-721375</v>
      </c>
      <c r="W51" s="257"/>
      <c r="X51" s="257"/>
      <c r="Y51" s="257"/>
      <c r="Z51" s="257"/>
      <c r="AA51" s="257"/>
      <c r="AB51" s="257"/>
      <c r="AC51" s="257"/>
      <c r="AD51" s="257"/>
      <c r="AE51" s="257"/>
      <c r="AF51" s="248" t="s">
        <v>58</v>
      </c>
      <c r="AG51" s="266">
        <v>0</v>
      </c>
      <c r="AH51" s="247">
        <v>0</v>
      </c>
      <c r="AI51" s="258">
        <f>IFERROR(T51/(1+'1-Description'!$N$29)^AG51,0)</f>
        <v>-721375</v>
      </c>
      <c r="AJ51" s="250">
        <f t="shared" si="2"/>
        <v>-721375</v>
      </c>
    </row>
    <row r="52" spans="2:36" ht="15.75" customHeight="1">
      <c r="B52" s="25"/>
      <c r="C52" s="25"/>
      <c r="D52" s="25"/>
      <c r="E52" s="24"/>
      <c r="F52" s="25"/>
      <c r="G52" s="25"/>
      <c r="H52" s="25"/>
      <c r="I52" s="25"/>
      <c r="J52" s="24"/>
      <c r="K52" s="25"/>
      <c r="L52" s="59"/>
      <c r="M52" s="20"/>
      <c r="N52" s="247"/>
      <c r="Q52" s="248" t="s">
        <v>59</v>
      </c>
      <c r="R52" s="266">
        <v>1</v>
      </c>
      <c r="S52" s="250">
        <f>IF(COUNTIF($S$51:S51,"&gt;=0")&gt;$Q$38,"",'2-Value'!$I$9+'2-Value'!$I$16)</f>
        <v>4099800</v>
      </c>
      <c r="T52" s="250">
        <f>IF(COUNTIF($T$51:T51,"&lt;&gt;0")&gt;$Q$38,"",-'3-Costs'!$I$15)</f>
        <v>-1117096.5</v>
      </c>
      <c r="U52" s="250">
        <f t="shared" si="9"/>
        <v>2982703.5</v>
      </c>
      <c r="V52" s="250">
        <f>IF(U52="","",U52+V51)</f>
        <v>2261328.5</v>
      </c>
      <c r="W52" s="257"/>
      <c r="X52" s="257"/>
      <c r="Y52" s="257"/>
      <c r="Z52" s="257"/>
      <c r="AA52" s="257"/>
      <c r="AB52" s="257"/>
      <c r="AC52" s="257"/>
      <c r="AD52" s="257"/>
      <c r="AE52" s="257"/>
      <c r="AF52" s="248" t="s">
        <v>59</v>
      </c>
      <c r="AG52" s="266">
        <v>1</v>
      </c>
      <c r="AH52" s="258">
        <f>IFERROR(S52/(1+'1-Description'!$N$29)^R52,0)</f>
        <v>3644266.6666666665</v>
      </c>
      <c r="AI52" s="258">
        <f>IFERROR(T52/(1+'1-Description'!$N$29)^AG52,0)</f>
        <v>-992974.66666666663</v>
      </c>
      <c r="AJ52" s="250">
        <f t="shared" si="2"/>
        <v>2651292</v>
      </c>
    </row>
    <row r="53" spans="2:36" ht="15.75" customHeight="1">
      <c r="B53" s="25"/>
      <c r="C53" s="25"/>
      <c r="D53" s="25"/>
      <c r="E53" s="24"/>
      <c r="F53" s="25"/>
      <c r="G53" s="25"/>
      <c r="H53" s="25"/>
      <c r="I53" s="25"/>
      <c r="J53" s="24"/>
      <c r="K53" s="25"/>
      <c r="L53" s="59"/>
      <c r="M53" s="20"/>
      <c r="N53" s="247"/>
      <c r="Q53" s="248" t="s">
        <v>60</v>
      </c>
      <c r="R53" s="266">
        <v>2</v>
      </c>
      <c r="S53" s="250">
        <f>IF(COUNTIF($S$51:S52,"&gt;=0")&gt;$Q$38,"",S52*(1+'2-Value'!$I$21))</f>
        <v>4407285</v>
      </c>
      <c r="T53" s="250">
        <f>IF(COUNTIF($T$51:T52,"&lt;&gt;0")&gt;$Q$38,"",T52*(1+'3-Costs'!$I$18))</f>
        <v>-1256733.5625</v>
      </c>
      <c r="U53" s="250">
        <f t="shared" si="9"/>
        <v>3150551.4375</v>
      </c>
      <c r="V53" s="250">
        <f t="shared" ref="V53:V61" si="10">IF(U53="","",U53+V52)</f>
        <v>5411879.9375</v>
      </c>
      <c r="W53" s="257"/>
      <c r="X53" s="257"/>
      <c r="Y53" s="257"/>
      <c r="Z53" s="257"/>
      <c r="AA53" s="257"/>
      <c r="AB53" s="257"/>
      <c r="AC53" s="257"/>
      <c r="AD53" s="257"/>
      <c r="AE53" s="257"/>
      <c r="AF53" s="248" t="s">
        <v>60</v>
      </c>
      <c r="AG53" s="266">
        <v>2</v>
      </c>
      <c r="AH53" s="258">
        <f>IFERROR(S53/(1+'1-Description'!$N$29)^R53,0)</f>
        <v>3482299.2592592593</v>
      </c>
      <c r="AI53" s="258">
        <f>IFERROR(T53/(1+'1-Description'!$N$29)^AG53,0)</f>
        <v>-992974.66666666663</v>
      </c>
      <c r="AJ53" s="250">
        <f t="shared" si="2"/>
        <v>2489324.5925925928</v>
      </c>
    </row>
    <row r="54" spans="2:36" ht="15.75" customHeight="1">
      <c r="B54" s="25"/>
      <c r="C54" s="25"/>
      <c r="D54" s="25"/>
      <c r="E54" s="24"/>
      <c r="F54" s="25"/>
      <c r="G54" s="25"/>
      <c r="H54" s="25"/>
      <c r="I54" s="25"/>
      <c r="J54" s="24"/>
      <c r="K54" s="25"/>
      <c r="L54" s="59"/>
      <c r="M54" s="20"/>
      <c r="N54" s="247"/>
      <c r="Q54" s="248" t="s">
        <v>61</v>
      </c>
      <c r="R54" s="266">
        <v>3</v>
      </c>
      <c r="S54" s="250">
        <f>IF(COUNTIF($S$51:S53,"&gt;=0")&gt;$Q$38,"",S53*(1+'2-Value'!$I$21))</f>
        <v>4737831.375</v>
      </c>
      <c r="T54" s="250">
        <f>IF(COUNTIF($T$51:T53,"&lt;&gt;0")&gt;$Q$38,"",T53*(1+'3-Costs'!$I$18))</f>
        <v>-1413825.2578125</v>
      </c>
      <c r="U54" s="250">
        <f t="shared" si="9"/>
        <v>3324006.1171875</v>
      </c>
      <c r="V54" s="250">
        <f t="shared" si="10"/>
        <v>8735886.0546875</v>
      </c>
      <c r="W54" s="257"/>
      <c r="X54" s="257"/>
      <c r="Y54" s="257"/>
      <c r="Z54" s="257"/>
      <c r="AA54" s="257"/>
      <c r="AB54" s="257"/>
      <c r="AC54" s="257"/>
      <c r="AD54" s="257"/>
      <c r="AE54" s="257"/>
      <c r="AF54" s="248" t="s">
        <v>61</v>
      </c>
      <c r="AG54" s="266">
        <v>3</v>
      </c>
      <c r="AH54" s="258">
        <f>IFERROR(S54/(1+'1-Description'!$N$29)^R54,0)</f>
        <v>3327530.403292181</v>
      </c>
      <c r="AI54" s="258">
        <f>IFERROR(T54/(1+'1-Description'!$N$29)^AG54,0)</f>
        <v>-992974.66666666663</v>
      </c>
      <c r="AJ54" s="250">
        <f t="shared" si="2"/>
        <v>2334555.7366255145</v>
      </c>
    </row>
    <row r="55" spans="2:36" ht="15.75" customHeight="1">
      <c r="B55" s="25"/>
      <c r="C55" s="25"/>
      <c r="D55" s="25"/>
      <c r="E55" s="24"/>
      <c r="F55" s="25"/>
      <c r="G55" s="25"/>
      <c r="H55" s="25"/>
      <c r="I55" s="25"/>
      <c r="J55" s="24"/>
      <c r="K55" s="25"/>
      <c r="L55" s="59"/>
      <c r="M55" s="20"/>
      <c r="N55" s="247"/>
      <c r="Q55" s="248" t="s">
        <v>62</v>
      </c>
      <c r="R55" s="266">
        <v>4</v>
      </c>
      <c r="S55" s="250">
        <f>IF(COUNTIF($S$51:S54,"&gt;=0")&gt;$Q$38,"",S54*(1+'2-Value'!$I$21))</f>
        <v>5093168.7281249994</v>
      </c>
      <c r="T55" s="250">
        <f>IF(COUNTIF($T$51:T54,"&lt;&gt;0")&gt;$Q$38,"",T54*(1+'3-Costs'!$I$18))</f>
        <v>-1590553.4150390625</v>
      </c>
      <c r="U55" s="250">
        <f t="shared" si="9"/>
        <v>3502615.3130859369</v>
      </c>
      <c r="V55" s="250">
        <f t="shared" si="10"/>
        <v>12238501.367773436</v>
      </c>
      <c r="W55" s="257"/>
      <c r="X55" s="257"/>
      <c r="Y55" s="257"/>
      <c r="Z55" s="257"/>
      <c r="AA55" s="257"/>
      <c r="AB55" s="257"/>
      <c r="AC55" s="257"/>
      <c r="AD55" s="257"/>
      <c r="AE55" s="257"/>
      <c r="AF55" s="248" t="s">
        <v>62</v>
      </c>
      <c r="AG55" s="266">
        <v>4</v>
      </c>
      <c r="AH55" s="258">
        <f>IFERROR(S55/(1+'1-Description'!$N$29)^R55,0)</f>
        <v>3179640.1631458616</v>
      </c>
      <c r="AI55" s="258">
        <f>IFERROR(T55/(1+'1-Description'!$N$29)^AG55,0)</f>
        <v>-992974.66666666663</v>
      </c>
      <c r="AJ55" s="250">
        <f t="shared" si="2"/>
        <v>2186665.4964791951</v>
      </c>
    </row>
    <row r="56" spans="2:36" ht="15.5">
      <c r="B56" s="25"/>
      <c r="C56" s="25"/>
      <c r="D56" s="25"/>
      <c r="E56" s="24"/>
      <c r="F56" s="25"/>
      <c r="G56" s="25"/>
      <c r="H56" s="25"/>
      <c r="I56" s="25"/>
      <c r="J56" s="24"/>
      <c r="K56" s="25"/>
      <c r="L56" s="59"/>
      <c r="M56" s="20"/>
      <c r="N56" s="247"/>
      <c r="Q56" s="248" t="s">
        <v>63</v>
      </c>
      <c r="R56" s="266">
        <v>5</v>
      </c>
      <c r="S56" s="250">
        <f>IF(COUNTIF($S$51:S55,"&gt;=0")&gt;$Q$38,"",S55*(1+'2-Value'!$I$21))</f>
        <v>5475156.3827343741</v>
      </c>
      <c r="T56" s="250">
        <f>IF(COUNTIF($T$51:T55,"&lt;&gt;0")&gt;$Q$38,"",T55*(1+'3-Costs'!$I$18))</f>
        <v>-1789372.5919189453</v>
      </c>
      <c r="U56" s="250">
        <f t="shared" si="9"/>
        <v>3685783.7908154288</v>
      </c>
      <c r="V56" s="250">
        <f t="shared" si="10"/>
        <v>15924285.158588864</v>
      </c>
      <c r="W56" s="257"/>
      <c r="X56" s="257"/>
      <c r="Y56" s="257"/>
      <c r="Z56" s="257"/>
      <c r="AA56" s="257"/>
      <c r="AB56" s="257"/>
      <c r="AC56" s="257"/>
      <c r="AD56" s="257"/>
      <c r="AE56" s="257"/>
      <c r="AF56" s="248" t="s">
        <v>63</v>
      </c>
      <c r="AG56" s="266">
        <v>5</v>
      </c>
      <c r="AH56" s="258">
        <f>IFERROR(S56/(1+'1-Description'!$N$29)^R56,0)</f>
        <v>3038322.8225616007</v>
      </c>
      <c r="AI56" s="258">
        <f>IFERROR(T56/(1+'1-Description'!$N$29)^AG56,0)</f>
        <v>-992974.66666666663</v>
      </c>
      <c r="AJ56" s="250">
        <f t="shared" si="2"/>
        <v>2045348.1558949342</v>
      </c>
    </row>
    <row r="57" spans="2:36" ht="15.5">
      <c r="B57" s="25"/>
      <c r="C57" s="25"/>
      <c r="D57" s="25"/>
      <c r="E57" s="24"/>
      <c r="F57" s="25"/>
      <c r="G57" s="25"/>
      <c r="H57" s="25"/>
      <c r="I57" s="25"/>
      <c r="J57" s="24"/>
      <c r="K57" s="25"/>
      <c r="L57" s="59"/>
      <c r="M57" s="20"/>
      <c r="N57" s="247"/>
      <c r="Q57" s="248" t="s">
        <v>64</v>
      </c>
      <c r="R57" s="266">
        <v>6</v>
      </c>
      <c r="S57" s="250">
        <f>IF(COUNTIF($S$51:S56,"&gt;=0")&gt;$Q$38,"",S56*(1+'2-Value'!$I$21))</f>
        <v>5885793.1114394516</v>
      </c>
      <c r="T57" s="250">
        <f>IF(COUNTIF($T$51:T56,"&lt;&gt;0")&gt;$Q$38,"",T56*(1+'3-Costs'!$I$18))</f>
        <v>-2013044.1659088135</v>
      </c>
      <c r="U57" s="250">
        <f t="shared" si="9"/>
        <v>3872748.9455306381</v>
      </c>
      <c r="V57" s="250">
        <f t="shared" si="10"/>
        <v>19797034.104119502</v>
      </c>
      <c r="W57" s="257"/>
      <c r="X57" s="257"/>
      <c r="Y57" s="257"/>
      <c r="Z57" s="257"/>
      <c r="AA57" s="257"/>
      <c r="AB57" s="257"/>
      <c r="AC57" s="257"/>
      <c r="AD57" s="257"/>
      <c r="AE57" s="257"/>
      <c r="AF57" s="248" t="s">
        <v>64</v>
      </c>
      <c r="AG57" s="266">
        <v>6</v>
      </c>
      <c r="AH57" s="258">
        <f>IFERROR(S57/(1+'1-Description'!$N$29)^R57,0)</f>
        <v>2903286.2526699738</v>
      </c>
      <c r="AI57" s="258">
        <f>IFERROR(T57/(1+'1-Description'!$N$29)^AG57,0)</f>
        <v>-992974.66666666663</v>
      </c>
      <c r="AJ57" s="250">
        <f t="shared" si="2"/>
        <v>1910311.5860033073</v>
      </c>
    </row>
    <row r="58" spans="2:36" ht="15.5">
      <c r="B58" s="25"/>
      <c r="C58" s="25"/>
      <c r="D58" s="25"/>
      <c r="E58" s="24"/>
      <c r="F58" s="25"/>
      <c r="G58" s="25"/>
      <c r="H58" s="25"/>
      <c r="I58" s="25"/>
      <c r="J58" s="24"/>
      <c r="K58" s="25"/>
      <c r="L58" s="59"/>
      <c r="M58" s="20"/>
      <c r="N58" s="247"/>
      <c r="Q58" s="248" t="s">
        <v>65</v>
      </c>
      <c r="R58" s="266">
        <v>7</v>
      </c>
      <c r="S58" s="250">
        <f>IF(COUNTIF($S$51:S57,"&gt;=0")&gt;$Q$38,"",S57*(1+'2-Value'!$I$21))</f>
        <v>6327227.5947974101</v>
      </c>
      <c r="T58" s="250">
        <f>IF(COUNTIF($T$51:T57,"&lt;&gt;0")&gt;$Q$38,"",T57*(1+'3-Costs'!$I$18))</f>
        <v>-2264674.6866474152</v>
      </c>
      <c r="U58" s="250">
        <f t="shared" si="9"/>
        <v>4062552.9081499949</v>
      </c>
      <c r="V58" s="250">
        <f t="shared" si="10"/>
        <v>23859587.012269497</v>
      </c>
      <c r="W58" s="257"/>
      <c r="X58" s="257"/>
      <c r="Y58" s="257"/>
      <c r="Z58" s="257"/>
      <c r="AA58" s="257"/>
      <c r="AB58" s="257"/>
      <c r="AC58" s="257"/>
      <c r="AD58" s="257"/>
      <c r="AE58" s="257"/>
      <c r="AF58" s="248" t="s">
        <v>65</v>
      </c>
      <c r="AG58" s="266">
        <v>7</v>
      </c>
      <c r="AH58" s="258">
        <f>IFERROR(S58/(1+'1-Description'!$N$29)^R58,0)</f>
        <v>2774251.3081068639</v>
      </c>
      <c r="AI58" s="258">
        <f>IFERROR(T58/(1+'1-Description'!$N$29)^AG58,0)</f>
        <v>-992974.66666666663</v>
      </c>
      <c r="AJ58" s="250">
        <f t="shared" si="2"/>
        <v>1781276.6414401974</v>
      </c>
    </row>
    <row r="59" spans="2:36" ht="15.5">
      <c r="B59" s="25"/>
      <c r="C59" s="25"/>
      <c r="D59" s="25"/>
      <c r="E59" s="24"/>
      <c r="F59" s="25"/>
      <c r="G59" s="25"/>
      <c r="H59" s="25"/>
      <c r="I59" s="25"/>
      <c r="J59" s="24"/>
      <c r="K59" s="25"/>
      <c r="L59" s="59"/>
      <c r="M59" s="20"/>
      <c r="N59" s="247"/>
      <c r="Q59" s="248" t="s">
        <v>66</v>
      </c>
      <c r="R59" s="266">
        <v>8</v>
      </c>
      <c r="S59" s="250">
        <f>IF(COUNTIF($S$51:S58,"&gt;=0")&gt;$Q$38,"",S58*(1+'2-Value'!$I$21))</f>
        <v>6801769.6644072151</v>
      </c>
      <c r="T59" s="250">
        <f>IF(COUNTIF($T$51:T58,"&lt;&gt;0")&gt;$Q$38,"",T58*(1+'3-Costs'!$I$18))</f>
        <v>-2547759.0224783421</v>
      </c>
      <c r="U59" s="250">
        <f t="shared" si="9"/>
        <v>4254010.641928873</v>
      </c>
      <c r="V59" s="250">
        <f t="shared" si="10"/>
        <v>28113597.654198371</v>
      </c>
      <c r="W59" s="257"/>
      <c r="X59" s="257"/>
      <c r="Y59" s="257"/>
      <c r="Z59" s="257"/>
      <c r="AA59" s="257"/>
      <c r="AB59" s="257"/>
      <c r="AC59" s="257"/>
      <c r="AD59" s="257"/>
      <c r="AE59" s="257"/>
      <c r="AF59" s="248" t="s">
        <v>66</v>
      </c>
      <c r="AG59" s="266">
        <v>8</v>
      </c>
      <c r="AH59" s="258">
        <f>IFERROR(S59/(1+'1-Description'!$N$29)^R59,0)</f>
        <v>2650951.2499687807</v>
      </c>
      <c r="AI59" s="258">
        <f>IFERROR(T59/(1+'1-Description'!$N$29)^AG59,0)</f>
        <v>-992974.66666666663</v>
      </c>
      <c r="AJ59" s="250">
        <f t="shared" si="2"/>
        <v>1657976.5833021142</v>
      </c>
    </row>
    <row r="60" spans="2:36" ht="15.5">
      <c r="B60" s="25"/>
      <c r="C60" s="25"/>
      <c r="D60" s="25"/>
      <c r="E60" s="24"/>
      <c r="F60" s="25"/>
      <c r="G60" s="25"/>
      <c r="H60" s="25"/>
      <c r="I60" s="25"/>
      <c r="J60" s="24"/>
      <c r="K60" s="25"/>
      <c r="L60" s="59"/>
      <c r="M60" s="20"/>
      <c r="N60" s="247"/>
      <c r="Q60" s="248" t="s">
        <v>67</v>
      </c>
      <c r="R60" s="266">
        <v>9</v>
      </c>
      <c r="S60" s="250">
        <f>IF(COUNTIF($S$51:S59,"&gt;=0")&gt;$Q$38,"",S59*(1+'2-Value'!$I$21))</f>
        <v>7311902.3892377559</v>
      </c>
      <c r="T60" s="250">
        <f>IF(COUNTIF($T$51:T59,"&lt;&gt;0")&gt;$Q$38,"",T59*(1+'3-Costs'!$I$18))</f>
        <v>-2866228.9002881348</v>
      </c>
      <c r="U60" s="250">
        <f t="shared" si="9"/>
        <v>4445673.4889496211</v>
      </c>
      <c r="V60" s="250">
        <f t="shared" si="10"/>
        <v>32559271.14314799</v>
      </c>
      <c r="W60" s="257"/>
      <c r="X60" s="257"/>
      <c r="Y60" s="257"/>
      <c r="Z60" s="257"/>
      <c r="AA60" s="257"/>
      <c r="AB60" s="257"/>
      <c r="AC60" s="257"/>
      <c r="AD60" s="257"/>
      <c r="AE60" s="257"/>
      <c r="AF60" s="248" t="s">
        <v>67</v>
      </c>
      <c r="AG60" s="266">
        <v>9</v>
      </c>
      <c r="AH60" s="258">
        <f>IFERROR(S60/(1+'1-Description'!$N$29)^R60,0)</f>
        <v>2533131.1944146124</v>
      </c>
      <c r="AI60" s="258">
        <f>IFERROR(T60/(1+'1-Description'!$N$29)^AG60,0)</f>
        <v>-992974.66666666663</v>
      </c>
      <c r="AJ60" s="250">
        <f t="shared" si="2"/>
        <v>1540156.5277479459</v>
      </c>
    </row>
    <row r="61" spans="2:36" ht="15.5">
      <c r="B61" s="25"/>
      <c r="C61" s="25"/>
      <c r="D61" s="25"/>
      <c r="E61" s="24"/>
      <c r="F61" s="25"/>
      <c r="G61" s="25"/>
      <c r="H61" s="25"/>
      <c r="I61" s="25"/>
      <c r="J61" s="24"/>
      <c r="K61" s="25"/>
      <c r="L61" s="59"/>
      <c r="M61" s="20"/>
      <c r="N61" s="247"/>
      <c r="Q61" s="248" t="s">
        <v>68</v>
      </c>
      <c r="R61" s="266">
        <v>10</v>
      </c>
      <c r="S61" s="250">
        <f>IF(COUNTIF($S$51:S60,"&gt;=0")&gt;$Q$38,"",S60*(1+'2-Value'!$I$21))</f>
        <v>7860295.0684305876</v>
      </c>
      <c r="T61" s="250">
        <f>IF(COUNTIF($T$51:T60,"&lt;&gt;0")&gt;$Q$38,"",T60*(1+'3-Costs'!$I$18))</f>
        <v>-3224507.5128241517</v>
      </c>
      <c r="U61" s="250">
        <f t="shared" si="9"/>
        <v>4635787.555606436</v>
      </c>
      <c r="V61" s="250">
        <f t="shared" si="10"/>
        <v>37195058.69875443</v>
      </c>
      <c r="W61" s="257"/>
      <c r="X61" s="257"/>
      <c r="Y61" s="257"/>
      <c r="Z61" s="257"/>
      <c r="AA61" s="257"/>
      <c r="AB61" s="257"/>
      <c r="AC61" s="257"/>
      <c r="AD61" s="257"/>
      <c r="AE61" s="257"/>
      <c r="AF61" s="248" t="s">
        <v>68</v>
      </c>
      <c r="AG61" s="266">
        <v>10</v>
      </c>
      <c r="AH61" s="258">
        <f>IFERROR(S61/(1+'1-Description'!$N$29)^R61,0)</f>
        <v>2420547.585773963</v>
      </c>
      <c r="AI61" s="258">
        <f>IFERROR(T61/(1+'1-Description'!$N$29)^AG61,0)</f>
        <v>-992974.66666666663</v>
      </c>
      <c r="AJ61" s="250">
        <f t="shared" si="2"/>
        <v>1427572.9191072965</v>
      </c>
    </row>
    <row r="62" spans="2:36" ht="15.5">
      <c r="B62" s="25"/>
      <c r="C62" s="25"/>
      <c r="D62" s="25"/>
      <c r="E62" s="24"/>
      <c r="F62" s="25"/>
      <c r="G62" s="25"/>
      <c r="H62" s="25"/>
      <c r="I62" s="25"/>
      <c r="J62" s="24"/>
      <c r="K62" s="25"/>
      <c r="L62" s="59"/>
      <c r="M62" s="20"/>
      <c r="N62" s="247"/>
      <c r="Q62" s="248" t="s">
        <v>97</v>
      </c>
      <c r="R62" s="266"/>
      <c r="S62" s="250">
        <f>SUM(S51:S61)</f>
        <v>58000229.314171791</v>
      </c>
      <c r="T62" s="250">
        <f>SUM(T51:T61)</f>
        <v>-20805170.615417365</v>
      </c>
      <c r="U62" s="250">
        <f>SUM(U51:U61)</f>
        <v>37195058.69875443</v>
      </c>
      <c r="V62" s="250" t="s">
        <v>98</v>
      </c>
      <c r="W62" s="257"/>
      <c r="X62" s="257"/>
      <c r="Y62" s="257"/>
      <c r="Z62" s="257"/>
      <c r="AA62" s="257"/>
      <c r="AB62" s="257"/>
      <c r="AC62" s="257"/>
      <c r="AD62" s="257"/>
      <c r="AE62" s="257"/>
      <c r="AF62" s="261" t="s">
        <v>97</v>
      </c>
      <c r="AG62" s="262"/>
      <c r="AH62" s="267">
        <f>SUM(AH51:AH61)</f>
        <v>29954226.905859761</v>
      </c>
      <c r="AI62" s="267">
        <f>SUM(AI51:AI61)</f>
        <v>-10651121.666666666</v>
      </c>
      <c r="AJ62" s="268">
        <f t="shared" si="2"/>
        <v>19303105.239193097</v>
      </c>
    </row>
    <row r="63" spans="2:36" ht="15.5">
      <c r="B63" s="25"/>
      <c r="C63" s="25"/>
      <c r="D63" s="25"/>
      <c r="E63" s="24"/>
      <c r="F63" s="25"/>
      <c r="G63" s="25"/>
      <c r="H63" s="25"/>
      <c r="I63" s="25"/>
      <c r="J63" s="24"/>
      <c r="K63" s="25"/>
      <c r="L63" s="59"/>
      <c r="M63" s="20"/>
      <c r="N63" s="247"/>
      <c r="Q63" s="248" t="s">
        <v>69</v>
      </c>
      <c r="R63" s="266">
        <v>0</v>
      </c>
      <c r="S63" s="250">
        <v>0</v>
      </c>
      <c r="T63" s="250">
        <f>-'3-Costs'!G10</f>
        <v>-865650</v>
      </c>
      <c r="U63" s="250">
        <f t="shared" ref="U63:U73" si="11">IF(OR(S63="",T63=""),"",S63+T63)</f>
        <v>-865650</v>
      </c>
      <c r="V63" s="250">
        <f>IF(U63="","",U63)</f>
        <v>-865650</v>
      </c>
      <c r="W63" s="257"/>
      <c r="X63" s="257"/>
      <c r="Y63" s="257"/>
      <c r="Z63" s="257"/>
      <c r="AA63" s="257"/>
      <c r="AB63" s="257"/>
      <c r="AC63" s="257"/>
      <c r="AD63" s="257"/>
      <c r="AE63" s="257"/>
      <c r="AF63" s="248" t="s">
        <v>69</v>
      </c>
      <c r="AG63" s="266">
        <v>0</v>
      </c>
      <c r="AH63" s="258">
        <v>0</v>
      </c>
      <c r="AI63" s="258">
        <f>IFERROR(T63/(1+'1-Description'!$N$29)^AG63,0)</f>
        <v>-865650</v>
      </c>
      <c r="AJ63" s="250">
        <f t="shared" si="2"/>
        <v>-865650</v>
      </c>
    </row>
    <row r="64" spans="2:36" ht="15.5">
      <c r="B64" s="25"/>
      <c r="C64" s="25"/>
      <c r="D64" s="25"/>
      <c r="E64" s="24"/>
      <c r="F64" s="25"/>
      <c r="G64" s="25"/>
      <c r="H64" s="25"/>
      <c r="I64" s="25"/>
      <c r="J64" s="24"/>
      <c r="K64" s="25"/>
      <c r="L64" s="59"/>
      <c r="M64" s="20"/>
      <c r="N64" s="247"/>
      <c r="Q64" s="248" t="s">
        <v>70</v>
      </c>
      <c r="R64" s="266">
        <v>1</v>
      </c>
      <c r="S64" s="250">
        <f>IF(COUNTIF($S$63:S63,"&gt;=0")&gt;$Q$38,"",'2-Value'!$G$9+'2-Value'!$G$16)</f>
        <v>3189340</v>
      </c>
      <c r="T64" s="250">
        <f>IF(COUNTIF($T$63:T63,"&lt;&gt;0")&gt;$Q$38,"",-'3-Costs'!$G$15)</f>
        <v>-1340516</v>
      </c>
      <c r="U64" s="250">
        <f t="shared" si="11"/>
        <v>1848824</v>
      </c>
      <c r="V64" s="250">
        <f>IF(U64="","",U64+V63)</f>
        <v>983174</v>
      </c>
      <c r="W64" s="257"/>
      <c r="X64" s="257"/>
      <c r="Y64" s="257"/>
      <c r="Z64" s="257"/>
      <c r="AA64" s="257"/>
      <c r="AB64" s="257"/>
      <c r="AC64" s="257"/>
      <c r="AD64" s="257"/>
      <c r="AE64" s="257"/>
      <c r="AF64" s="248" t="s">
        <v>70</v>
      </c>
      <c r="AG64" s="266">
        <v>1</v>
      </c>
      <c r="AH64" s="258">
        <f>IFERROR(S64/(1+'1-Description'!$N$29)^R64,0)</f>
        <v>2834968.888888889</v>
      </c>
      <c r="AI64" s="258">
        <f>IFERROR(T64/(1+'1-Description'!$N$29)^AG64,0)</f>
        <v>-1191569.7777777778</v>
      </c>
      <c r="AJ64" s="250">
        <f t="shared" si="2"/>
        <v>1643399.1111111112</v>
      </c>
    </row>
    <row r="65" spans="2:36" ht="15.5">
      <c r="B65" s="25"/>
      <c r="C65" s="25"/>
      <c r="D65" s="25"/>
      <c r="E65" s="24"/>
      <c r="F65" s="25"/>
      <c r="G65" s="25"/>
      <c r="H65" s="25"/>
      <c r="I65" s="25"/>
      <c r="J65" s="24"/>
      <c r="K65" s="25"/>
      <c r="L65" s="59"/>
      <c r="M65" s="20"/>
      <c r="N65" s="247"/>
      <c r="Q65" s="248" t="s">
        <v>71</v>
      </c>
      <c r="R65" s="266">
        <v>2</v>
      </c>
      <c r="S65" s="250">
        <f>IF(COUNTIF($S$63:S64,"&gt;=0")&gt;$Q$38,"",S64*(1+'2-Value'!$G$21))</f>
        <v>3348807</v>
      </c>
      <c r="T65" s="250">
        <f>IF(COUNTIF($T$63:T64,"&lt;&gt;0")&gt;$Q$38,"",T64*(1+'3-Costs'!$G$18))</f>
        <v>-1541593.4</v>
      </c>
      <c r="U65" s="250">
        <f t="shared" si="11"/>
        <v>1807213.6</v>
      </c>
      <c r="V65" s="250">
        <f t="shared" ref="V65:V73" si="12">IF(U65="","",U65+V64)</f>
        <v>2790387.6</v>
      </c>
      <c r="W65" s="257"/>
      <c r="X65" s="257"/>
      <c r="Y65" s="257"/>
      <c r="Z65" s="257"/>
      <c r="AA65" s="257"/>
      <c r="AB65" s="257"/>
      <c r="AC65" s="257"/>
      <c r="AD65" s="257"/>
      <c r="AE65" s="257"/>
      <c r="AF65" s="248" t="s">
        <v>71</v>
      </c>
      <c r="AG65" s="266">
        <v>2</v>
      </c>
      <c r="AH65" s="258">
        <f>IFERROR(S65/(1+'1-Description'!$N$29)^R65,0)</f>
        <v>2645970.9629629632</v>
      </c>
      <c r="AI65" s="258">
        <f>IFERROR(T65/(1+'1-Description'!$N$29)^AG65,0)</f>
        <v>-1218049.1061728394</v>
      </c>
      <c r="AJ65" s="250">
        <f t="shared" si="2"/>
        <v>1427921.8567901237</v>
      </c>
    </row>
    <row r="66" spans="2:36" ht="21.75" customHeight="1">
      <c r="B66" s="25"/>
      <c r="C66" s="25"/>
      <c r="D66" s="25"/>
      <c r="E66" s="24"/>
      <c r="F66" s="25"/>
      <c r="G66" s="25"/>
      <c r="H66" s="25"/>
      <c r="I66" s="25"/>
      <c r="J66" s="24"/>
      <c r="K66" s="25"/>
      <c r="L66" s="59"/>
      <c r="M66" s="20"/>
      <c r="N66" s="247"/>
      <c r="Q66" s="248" t="s">
        <v>72</v>
      </c>
      <c r="R66" s="266">
        <v>3</v>
      </c>
      <c r="S66" s="250">
        <f>IF(COUNTIF($S$63:S65,"&gt;=0")&gt;$Q$38,"",S65*(1+'2-Value'!$G$21))</f>
        <v>3516247.35</v>
      </c>
      <c r="T66" s="250">
        <f>IF(COUNTIF($T$63:T65,"&lt;&gt;0")&gt;$Q$38,"",T65*(1+'3-Costs'!$G$18))</f>
        <v>-1772832.4099999997</v>
      </c>
      <c r="U66" s="250">
        <f>IF(OR(S66="",T66=""),"",S66+T66)</f>
        <v>1743414.9400000004</v>
      </c>
      <c r="V66" s="250">
        <f t="shared" si="12"/>
        <v>4533802.540000001</v>
      </c>
      <c r="W66" s="257"/>
      <c r="X66" s="257"/>
      <c r="Y66" s="257"/>
      <c r="Z66" s="257"/>
      <c r="AA66" s="257"/>
      <c r="AB66" s="257"/>
      <c r="AC66" s="257"/>
      <c r="AD66" s="257"/>
      <c r="AE66" s="257"/>
      <c r="AF66" s="248" t="s">
        <v>72</v>
      </c>
      <c r="AG66" s="266">
        <v>3</v>
      </c>
      <c r="AH66" s="258">
        <f>IFERROR(S66/(1+'1-Description'!$N$29)^R66,0)</f>
        <v>2469572.8987654322</v>
      </c>
      <c r="AI66" s="258">
        <f>IFERROR(T66/(1+'1-Description'!$N$29)^AG66,0)</f>
        <v>-1245116.8640877912</v>
      </c>
      <c r="AJ66" s="250">
        <f t="shared" si="2"/>
        <v>1224456.034677641</v>
      </c>
    </row>
    <row r="67" spans="2:36" ht="21.75" customHeight="1">
      <c r="B67" s="25"/>
      <c r="C67" s="25"/>
      <c r="D67" s="25"/>
      <c r="E67" s="24"/>
      <c r="F67" s="25"/>
      <c r="G67" s="25"/>
      <c r="H67" s="25"/>
      <c r="I67" s="25"/>
      <c r="J67" s="24"/>
      <c r="K67" s="25"/>
      <c r="L67" s="59"/>
      <c r="M67" s="20"/>
      <c r="N67" s="247"/>
      <c r="Q67" s="248" t="s">
        <v>73</v>
      </c>
      <c r="R67" s="266">
        <v>4</v>
      </c>
      <c r="S67" s="250">
        <f>IF(COUNTIF($S$63:S66,"&gt;=0")&gt;$Q$38,"",S66*(1+'2-Value'!$G$21))</f>
        <v>3692059.7175000003</v>
      </c>
      <c r="T67" s="250">
        <f>IF(COUNTIF($T$63:T66,"&lt;&gt;0")&gt;$Q$38,"",T66*(1+'3-Costs'!$G$18))</f>
        <v>-2038757.2714999996</v>
      </c>
      <c r="U67" s="250">
        <f t="shared" si="11"/>
        <v>1653302.4460000007</v>
      </c>
      <c r="V67" s="250">
        <f t="shared" si="12"/>
        <v>6187104.9860000014</v>
      </c>
      <c r="W67" s="257"/>
      <c r="X67" s="257"/>
      <c r="Y67" s="257"/>
      <c r="Z67" s="257"/>
      <c r="AA67" s="257"/>
      <c r="AB67" s="257"/>
      <c r="AC67" s="257"/>
      <c r="AD67" s="257"/>
      <c r="AE67" s="257"/>
      <c r="AF67" s="248" t="s">
        <v>73</v>
      </c>
      <c r="AG67" s="266">
        <v>4</v>
      </c>
      <c r="AH67" s="258">
        <f>IFERROR(S67/(1+'1-Description'!$N$29)^R67,0)</f>
        <v>2304934.7055144035</v>
      </c>
      <c r="AI67" s="258">
        <f>IFERROR(T67/(1+'1-Description'!$N$29)^AG67,0)</f>
        <v>-1272786.1277341866</v>
      </c>
      <c r="AJ67" s="250">
        <f t="shared" si="2"/>
        <v>1032148.5777802169</v>
      </c>
    </row>
    <row r="68" spans="2:36" ht="21.75" customHeight="1">
      <c r="B68" s="25"/>
      <c r="C68" s="25"/>
      <c r="D68" s="25"/>
      <c r="E68" s="24"/>
      <c r="F68" s="25"/>
      <c r="G68" s="25"/>
      <c r="H68" s="25"/>
      <c r="I68" s="25"/>
      <c r="J68" s="24"/>
      <c r="K68" s="25"/>
      <c r="L68" s="59"/>
      <c r="M68" s="20"/>
      <c r="N68" s="247"/>
      <c r="Q68" s="248" t="s">
        <v>74</v>
      </c>
      <c r="R68" s="266">
        <v>5</v>
      </c>
      <c r="S68" s="250">
        <f>IF(COUNTIF($S$63:S67,"&gt;=0")&gt;$Q$38,"",S67*(1+'2-Value'!$G$21))</f>
        <v>3876662.7033750005</v>
      </c>
      <c r="T68" s="250">
        <f>IF(COUNTIF($T$63:T67,"&lt;&gt;0")&gt;$Q$38,"",T67*(1+'3-Costs'!$G$18))</f>
        <v>-2344570.8622249993</v>
      </c>
      <c r="U68" s="250">
        <f t="shared" si="11"/>
        <v>1532091.8411500012</v>
      </c>
      <c r="V68" s="250">
        <f t="shared" si="12"/>
        <v>7719196.8271500021</v>
      </c>
      <c r="W68" s="257"/>
      <c r="X68" s="257"/>
      <c r="Y68" s="257"/>
      <c r="Z68" s="257"/>
      <c r="AA68" s="257"/>
      <c r="AB68" s="257"/>
      <c r="AC68" s="257"/>
      <c r="AD68" s="257"/>
      <c r="AE68" s="257"/>
      <c r="AF68" s="248" t="s">
        <v>74</v>
      </c>
      <c r="AG68" s="266">
        <v>5</v>
      </c>
      <c r="AH68" s="258">
        <f>IFERROR(S68/(1+'1-Description'!$N$29)^R68,0)</f>
        <v>2151272.3918134435</v>
      </c>
      <c r="AI68" s="258">
        <f>IFERROR(T68/(1+'1-Description'!$N$29)^AG68,0)</f>
        <v>-1301070.2639060572</v>
      </c>
      <c r="AJ68" s="250">
        <f t="shared" si="2"/>
        <v>850202.12790738628</v>
      </c>
    </row>
    <row r="69" spans="2:36" ht="21.75" customHeight="1">
      <c r="B69" s="25"/>
      <c r="C69" s="25"/>
      <c r="D69" s="25"/>
      <c r="E69" s="24"/>
      <c r="F69" s="25"/>
      <c r="G69" s="25"/>
      <c r="H69" s="25"/>
      <c r="I69" s="25"/>
      <c r="J69" s="24"/>
      <c r="K69" s="25"/>
      <c r="L69" s="59"/>
      <c r="M69" s="20"/>
      <c r="N69" s="247"/>
      <c r="Q69" s="248" t="s">
        <v>75</v>
      </c>
      <c r="R69" s="266">
        <v>6</v>
      </c>
      <c r="S69" s="250">
        <f>IF(COUNTIF($S$63:S68,"&gt;=0")&gt;$Q$38,"",S68*(1+'2-Value'!$G$21))</f>
        <v>4070495.8385437508</v>
      </c>
      <c r="T69" s="250">
        <f>IF(COUNTIF($T$63:T68,"&lt;&gt;0")&gt;$Q$38,"",T68*(1+'3-Costs'!$G$18))</f>
        <v>-2696256.4915587492</v>
      </c>
      <c r="U69" s="250">
        <f t="shared" si="11"/>
        <v>1374239.3469850016</v>
      </c>
      <c r="V69" s="250">
        <f t="shared" si="12"/>
        <v>9093436.1741350032</v>
      </c>
      <c r="W69" s="257"/>
      <c r="X69" s="257"/>
      <c r="Y69" s="257"/>
      <c r="Z69" s="257"/>
      <c r="AA69" s="257"/>
      <c r="AB69" s="257"/>
      <c r="AC69" s="257"/>
      <c r="AD69" s="257"/>
      <c r="AE69" s="257"/>
      <c r="AF69" s="248" t="s">
        <v>75</v>
      </c>
      <c r="AG69" s="266">
        <v>6</v>
      </c>
      <c r="AH69" s="258">
        <f>IFERROR(S69/(1+'1-Description'!$N$29)^R69,0)</f>
        <v>2007854.232359214</v>
      </c>
      <c r="AI69" s="258">
        <f>IFERROR(T69/(1+'1-Description'!$N$29)^AG69,0)</f>
        <v>-1329982.936437303</v>
      </c>
      <c r="AJ69" s="250">
        <f t="shared" si="2"/>
        <v>677871.29592191102</v>
      </c>
    </row>
    <row r="70" spans="2:36" ht="21.75" customHeight="1">
      <c r="B70" s="25"/>
      <c r="C70" s="25"/>
      <c r="D70" s="25"/>
      <c r="E70" s="24"/>
      <c r="F70" s="25"/>
      <c r="G70" s="25"/>
      <c r="H70" s="25"/>
      <c r="I70" s="25"/>
      <c r="J70" s="24"/>
      <c r="K70" s="25"/>
      <c r="L70" s="59"/>
      <c r="M70" s="20"/>
      <c r="N70" s="247"/>
      <c r="Q70" s="248" t="s">
        <v>76</v>
      </c>
      <c r="R70" s="266">
        <v>7</v>
      </c>
      <c r="S70" s="250">
        <f>IF(COUNTIF($S$63:S69,"&gt;=0")&gt;$Q$38,"",S69*(1+'2-Value'!$G$21))</f>
        <v>4274020.630470939</v>
      </c>
      <c r="T70" s="250">
        <f>IF(COUNTIF($T$63:T69,"&lt;&gt;0")&gt;$Q$38,"",T69*(1+'3-Costs'!$G$18))</f>
        <v>-3100694.9652925613</v>
      </c>
      <c r="U70" s="250">
        <f t="shared" si="11"/>
        <v>1173325.6651783776</v>
      </c>
      <c r="V70" s="250">
        <f t="shared" si="12"/>
        <v>10266761.83931338</v>
      </c>
      <c r="W70" s="257"/>
      <c r="X70" s="257"/>
      <c r="Y70" s="257"/>
      <c r="Z70" s="257"/>
      <c r="AA70" s="257"/>
      <c r="AB70" s="257"/>
      <c r="AC70" s="257"/>
      <c r="AD70" s="257"/>
      <c r="AE70" s="257"/>
      <c r="AF70" s="248" t="s">
        <v>76</v>
      </c>
      <c r="AG70" s="266">
        <v>7</v>
      </c>
      <c r="AH70" s="258">
        <f>IFERROR(S70/(1+'1-Description'!$N$29)^R70,0)</f>
        <v>1873997.2835352665</v>
      </c>
      <c r="AI70" s="258">
        <f>IFERROR(T70/(1+'1-Description'!$N$29)^AG70,0)</f>
        <v>-1359538.1128025763</v>
      </c>
      <c r="AJ70" s="250">
        <f t="shared" si="2"/>
        <v>514459.17073269025</v>
      </c>
    </row>
    <row r="71" spans="2:36" ht="21.75" customHeight="1">
      <c r="B71" s="25"/>
      <c r="C71" s="25"/>
      <c r="D71" s="25"/>
      <c r="E71" s="24"/>
      <c r="F71" s="25"/>
      <c r="G71" s="25"/>
      <c r="H71" s="25"/>
      <c r="I71" s="25"/>
      <c r="J71" s="24"/>
      <c r="K71" s="25"/>
      <c r="L71" s="59"/>
      <c r="M71" s="20"/>
      <c r="N71" s="247"/>
      <c r="Q71" s="248" t="s">
        <v>77</v>
      </c>
      <c r="R71" s="266">
        <v>8</v>
      </c>
      <c r="S71" s="250">
        <f>IF(COUNTIF($S$63:S70,"&gt;=0")&gt;$Q$38,"",S70*(1+'2-Value'!$G$21))</f>
        <v>4487721.6619944861</v>
      </c>
      <c r="T71" s="250">
        <f>IF(COUNTIF($T$63:T70,"&lt;&gt;0")&gt;$Q$38,"",T70*(1+'3-Costs'!$G$18))</f>
        <v>-3565799.2100864453</v>
      </c>
      <c r="U71" s="250">
        <f t="shared" si="11"/>
        <v>921922.45190804079</v>
      </c>
      <c r="V71" s="250">
        <f t="shared" si="12"/>
        <v>11188684.291221421</v>
      </c>
      <c r="W71" s="257"/>
      <c r="X71" s="257"/>
      <c r="Y71" s="257"/>
      <c r="Z71" s="257"/>
      <c r="AA71" s="257"/>
      <c r="AB71" s="257"/>
      <c r="AC71" s="257"/>
      <c r="AD71" s="257"/>
      <c r="AE71" s="257"/>
      <c r="AF71" s="248" t="s">
        <v>77</v>
      </c>
      <c r="AG71" s="266">
        <v>8</v>
      </c>
      <c r="AH71" s="258">
        <f>IFERROR(S71/(1+'1-Description'!$N$29)^R71,0)</f>
        <v>1749064.1312995823</v>
      </c>
      <c r="AI71" s="258">
        <f>IFERROR(T71/(1+'1-Description'!$N$29)^AG71,0)</f>
        <v>-1389750.0708648558</v>
      </c>
      <c r="AJ71" s="250">
        <f t="shared" si="2"/>
        <v>359314.06043472653</v>
      </c>
    </row>
    <row r="72" spans="2:36" ht="21.75" customHeight="1">
      <c r="B72" s="25"/>
      <c r="C72" s="25"/>
      <c r="D72" s="25"/>
      <c r="E72" s="24"/>
      <c r="F72" s="25"/>
      <c r="G72" s="25"/>
      <c r="H72" s="25"/>
      <c r="I72" s="25"/>
      <c r="J72" s="24"/>
      <c r="K72" s="25"/>
      <c r="L72" s="59"/>
      <c r="M72" s="20"/>
      <c r="N72" s="247"/>
      <c r="Q72" s="248" t="s">
        <v>78</v>
      </c>
      <c r="R72" s="266">
        <v>9</v>
      </c>
      <c r="S72" s="250">
        <f>IF(COUNTIF($S$63:S71,"&gt;=0")&gt;$Q$38,"",S71*(1+'2-Value'!$G$21))</f>
        <v>4712107.7450942108</v>
      </c>
      <c r="T72" s="250">
        <f>IF(COUNTIF($T$63:T71,"&lt;&gt;0")&gt;$Q$38,"",T71*(1+'3-Costs'!$G$18))</f>
        <v>-4100669.0915994118</v>
      </c>
      <c r="U72" s="250">
        <f t="shared" si="11"/>
        <v>611438.65349479904</v>
      </c>
      <c r="V72" s="250">
        <f t="shared" si="12"/>
        <v>11800122.944716221</v>
      </c>
      <c r="W72" s="257"/>
      <c r="X72" s="257"/>
      <c r="Y72" s="257"/>
      <c r="Z72" s="257"/>
      <c r="AA72" s="257"/>
      <c r="AB72" s="257"/>
      <c r="AC72" s="257"/>
      <c r="AD72" s="257"/>
      <c r="AE72" s="257"/>
      <c r="AF72" s="248" t="s">
        <v>78</v>
      </c>
      <c r="AG72" s="266">
        <v>9</v>
      </c>
      <c r="AH72" s="258">
        <f>IFERROR(S72/(1+'1-Description'!$N$29)^R72,0)</f>
        <v>1632459.8558796102</v>
      </c>
      <c r="AI72" s="258">
        <f>IFERROR(T72/(1+'1-Description'!$N$29)^AG72,0)</f>
        <v>-1420633.4057729635</v>
      </c>
      <c r="AJ72" s="250">
        <f t="shared" si="2"/>
        <v>211826.45010664663</v>
      </c>
    </row>
    <row r="73" spans="2:36" ht="21.75" customHeight="1">
      <c r="B73" s="25"/>
      <c r="C73" s="25"/>
      <c r="D73" s="25"/>
      <c r="E73" s="24"/>
      <c r="F73" s="25"/>
      <c r="G73" s="25"/>
      <c r="H73" s="25"/>
      <c r="I73" s="25"/>
      <c r="J73" s="24"/>
      <c r="K73" s="25"/>
      <c r="L73" s="59"/>
      <c r="M73" s="20"/>
      <c r="N73" s="247"/>
      <c r="Q73" s="248" t="s">
        <v>79</v>
      </c>
      <c r="R73" s="266">
        <v>10</v>
      </c>
      <c r="S73" s="250">
        <f>IF(COUNTIF($S$63:S72,"&gt;=0")&gt;$Q$38,"",S72*(1+'2-Value'!$G$21))</f>
        <v>4947713.1323489211</v>
      </c>
      <c r="T73" s="250">
        <f>IF(COUNTIF($T$63:T72,"&lt;&gt;0")&gt;$Q$38,"",T72*(1+'3-Costs'!$G$18))</f>
        <v>-4715769.4553393228</v>
      </c>
      <c r="U73" s="250">
        <f t="shared" si="11"/>
        <v>231943.67700959835</v>
      </c>
      <c r="V73" s="250">
        <f t="shared" si="12"/>
        <v>12032066.62172582</v>
      </c>
      <c r="W73" s="257"/>
      <c r="X73" s="257"/>
      <c r="Y73" s="257"/>
      <c r="Z73" s="257"/>
      <c r="AA73" s="257"/>
      <c r="AB73" s="257"/>
      <c r="AC73" s="257"/>
      <c r="AD73" s="257"/>
      <c r="AE73" s="257"/>
      <c r="AF73" s="248" t="s">
        <v>79</v>
      </c>
      <c r="AG73" s="266">
        <v>10</v>
      </c>
      <c r="AH73" s="258">
        <f>IFERROR(S73/(1+'1-Description'!$N$29)^R73,0)</f>
        <v>1523629.1988209696</v>
      </c>
      <c r="AI73" s="258">
        <f>IFERROR(T73/(1+'1-Description'!$N$29)^AG73,0)</f>
        <v>-1452203.0370123624</v>
      </c>
      <c r="AJ73" s="250">
        <f t="shared" si="2"/>
        <v>71426.161808607168</v>
      </c>
    </row>
    <row r="74" spans="2:36" ht="15.75" customHeight="1">
      <c r="B74" s="25"/>
      <c r="C74" s="25"/>
      <c r="D74" s="25"/>
      <c r="E74" s="24"/>
      <c r="F74" s="25"/>
      <c r="G74" s="25"/>
      <c r="H74" s="25"/>
      <c r="I74" s="25"/>
      <c r="J74" s="24"/>
      <c r="K74" s="25"/>
      <c r="L74" s="59"/>
      <c r="M74" s="20"/>
      <c r="N74" s="247"/>
      <c r="Q74" s="248" t="s">
        <v>97</v>
      </c>
      <c r="R74" s="266"/>
      <c r="S74" s="250">
        <f>SUM(S63:S73)</f>
        <v>40115175.779327303</v>
      </c>
      <c r="T74" s="250">
        <f>SUM(T63:T73)</f>
        <v>-28083109.157601491</v>
      </c>
      <c r="U74" s="250">
        <f>SUM(U63:U73)</f>
        <v>12032066.62172582</v>
      </c>
      <c r="V74" s="250" t="s">
        <v>98</v>
      </c>
      <c r="W74" s="257"/>
      <c r="X74" s="257"/>
      <c r="Y74" s="257"/>
      <c r="Z74" s="257"/>
      <c r="AA74" s="257"/>
      <c r="AB74" s="257"/>
      <c r="AC74" s="257"/>
      <c r="AD74" s="257"/>
      <c r="AE74" s="257"/>
      <c r="AF74" s="261" t="s">
        <v>97</v>
      </c>
      <c r="AG74" s="262"/>
      <c r="AH74" s="267">
        <f>SUM(AH63:AH73)</f>
        <v>21193724.549839772</v>
      </c>
      <c r="AI74" s="267">
        <f>SUM(AI63:AI73)</f>
        <v>-14046349.702568714</v>
      </c>
      <c r="AJ74" s="268">
        <f t="shared" si="2"/>
        <v>7147374.8472710587</v>
      </c>
    </row>
    <row r="75" spans="2:36" ht="15.75" customHeight="1">
      <c r="B75" s="25"/>
      <c r="C75" s="25"/>
      <c r="D75" s="25"/>
      <c r="E75" s="24"/>
      <c r="F75" s="25"/>
      <c r="G75" s="25"/>
      <c r="H75" s="25"/>
      <c r="I75" s="25"/>
      <c r="J75" s="24"/>
      <c r="K75" s="25"/>
      <c r="L75" s="59"/>
      <c r="M75" s="20"/>
      <c r="N75" s="247"/>
      <c r="R75" s="248"/>
      <c r="S75" s="250"/>
      <c r="T75" s="250"/>
      <c r="U75" s="250"/>
      <c r="V75" s="250"/>
      <c r="W75" s="257"/>
      <c r="X75" s="257"/>
      <c r="Y75" s="257"/>
      <c r="Z75" s="257"/>
      <c r="AA75" s="257"/>
      <c r="AB75" s="257"/>
      <c r="AC75" s="257"/>
      <c r="AD75" s="257"/>
      <c r="AE75" s="257"/>
    </row>
    <row r="76" spans="2:36" ht="15.5">
      <c r="B76" s="25"/>
      <c r="C76" s="25"/>
      <c r="D76" s="25"/>
      <c r="E76" s="24"/>
      <c r="F76" s="25"/>
      <c r="G76" s="25"/>
      <c r="H76" s="25"/>
      <c r="I76" s="25"/>
      <c r="J76" s="24"/>
      <c r="K76" s="25"/>
      <c r="L76" s="59"/>
      <c r="M76" s="20"/>
      <c r="N76" s="247"/>
      <c r="Q76" s="248" t="s">
        <v>106</v>
      </c>
      <c r="R76" s="248"/>
      <c r="S76" s="250"/>
      <c r="T76" s="250"/>
      <c r="U76" s="250"/>
      <c r="V76" s="250"/>
      <c r="W76" s="257"/>
      <c r="X76" s="257"/>
      <c r="Y76" s="257"/>
      <c r="Z76" s="257"/>
      <c r="AA76" s="257"/>
      <c r="AB76" s="257"/>
      <c r="AC76" s="257"/>
      <c r="AD76" s="257"/>
      <c r="AE76" s="257"/>
      <c r="AF76" s="257"/>
    </row>
    <row r="77" spans="2:36" ht="1.5" customHeight="1">
      <c r="B77" s="25"/>
      <c r="C77" s="25"/>
      <c r="D77" s="25"/>
      <c r="E77" s="25"/>
      <c r="F77" s="25"/>
      <c r="G77" s="25"/>
      <c r="H77" s="25"/>
      <c r="I77" s="25"/>
      <c r="J77" s="25"/>
      <c r="K77" s="25"/>
      <c r="L77" s="59"/>
      <c r="M77" s="20"/>
      <c r="N77" s="247"/>
      <c r="R77" s="255" t="s">
        <v>4</v>
      </c>
      <c r="S77" s="269" t="s">
        <v>80</v>
      </c>
      <c r="T77" s="269" t="s">
        <v>349</v>
      </c>
      <c r="U77" s="269" t="s">
        <v>82</v>
      </c>
      <c r="V77" s="269" t="s">
        <v>83</v>
      </c>
      <c r="W77" s="257"/>
      <c r="X77" s="257" t="s">
        <v>81</v>
      </c>
      <c r="Y77" s="257" t="s">
        <v>82</v>
      </c>
      <c r="Z77" s="257"/>
      <c r="AA77" s="257"/>
      <c r="AB77" s="257"/>
      <c r="AC77" s="257"/>
      <c r="AD77" s="257"/>
      <c r="AE77" s="257"/>
      <c r="AF77" s="257"/>
    </row>
    <row r="78" spans="2:36" ht="1.5" customHeight="1">
      <c r="B78" s="25"/>
      <c r="C78" s="116"/>
      <c r="D78" s="116"/>
      <c r="E78" s="117"/>
      <c r="F78" s="25"/>
      <c r="G78" s="116"/>
      <c r="H78" s="116"/>
      <c r="I78" s="119"/>
      <c r="J78" s="120"/>
      <c r="K78" s="25"/>
      <c r="L78" s="59"/>
      <c r="M78" s="28" t="s">
        <v>25</v>
      </c>
      <c r="N78" s="270" t="s">
        <v>27</v>
      </c>
      <c r="O78" s="270"/>
      <c r="Q78" s="248" t="str">
        <f t="shared" ref="Q78:Q88" si="13">$B$14&amp;R78</f>
        <v>Best Case0</v>
      </c>
      <c r="R78" s="266">
        <v>0</v>
      </c>
      <c r="S78" s="250">
        <f>VLOOKUP(Q78,Q39:V73,3,0)</f>
        <v>0</v>
      </c>
      <c r="T78" s="250">
        <f t="shared" ref="T78:T82" si="14">VLOOKUP(Q78,$Q$39:$V$73,4,0)</f>
        <v>-577100</v>
      </c>
      <c r="U78" s="250">
        <f>VLOOKUP(Q78,Q39:V73,5,0)</f>
        <v>-577100</v>
      </c>
      <c r="V78" s="250">
        <f>VLOOKUP(Q78,Q39:V73,6,0)</f>
        <v>-577100</v>
      </c>
      <c r="W78" s="257"/>
      <c r="X78" s="257"/>
      <c r="Y78" s="257"/>
      <c r="Z78" s="257"/>
      <c r="AA78" s="257"/>
      <c r="AB78" s="257"/>
      <c r="AC78" s="257"/>
      <c r="AD78" s="257"/>
      <c r="AE78" s="257"/>
      <c r="AF78" s="257"/>
    </row>
    <row r="79" spans="2:36" ht="0.75" customHeight="1">
      <c r="B79" s="25"/>
      <c r="C79" s="61"/>
      <c r="D79" s="25"/>
      <c r="E79" s="25"/>
      <c r="F79" s="25"/>
      <c r="G79" s="54"/>
      <c r="H79" s="119"/>
      <c r="I79" s="119"/>
      <c r="J79" s="121"/>
      <c r="K79" s="25"/>
      <c r="L79" s="59"/>
      <c r="M79" s="31" t="s">
        <v>21</v>
      </c>
      <c r="N79" s="270" t="s">
        <v>28</v>
      </c>
      <c r="O79" s="270"/>
      <c r="Q79" s="248" t="str">
        <f t="shared" si="13"/>
        <v>Best Case1</v>
      </c>
      <c r="R79" s="266">
        <v>1</v>
      </c>
      <c r="S79" s="250">
        <f>VLOOKUP(Q79,Q40:V75,3,0)</f>
        <v>5010260</v>
      </c>
      <c r="T79" s="250">
        <f t="shared" si="14"/>
        <v>-893677</v>
      </c>
      <c r="U79" s="250">
        <f>VLOOKUP(Q79,Q40:V75,5,0)</f>
        <v>4116583</v>
      </c>
      <c r="V79" s="250">
        <f>VLOOKUP(Q79,Q40:V75,6,0)</f>
        <v>3539483</v>
      </c>
      <c r="W79" s="257"/>
      <c r="X79" s="257"/>
      <c r="Y79" s="257"/>
      <c r="Z79" s="257"/>
      <c r="AA79" s="257"/>
      <c r="AB79" s="257"/>
      <c r="AC79" s="257"/>
      <c r="AD79" s="257"/>
      <c r="AE79" s="257"/>
      <c r="AF79" s="257"/>
    </row>
    <row r="80" spans="2:36" ht="0.75" customHeight="1">
      <c r="B80" s="25"/>
      <c r="C80" s="61"/>
      <c r="D80" s="25"/>
      <c r="E80" s="32"/>
      <c r="F80" s="25"/>
      <c r="G80" s="54"/>
      <c r="H80" s="119"/>
      <c r="I80" s="119"/>
      <c r="J80" s="121"/>
      <c r="K80" s="25"/>
      <c r="L80" s="59"/>
      <c r="M80" s="31" t="s">
        <v>22</v>
      </c>
      <c r="N80" s="270" t="s">
        <v>262</v>
      </c>
      <c r="O80" s="270"/>
      <c r="Q80" s="248" t="str">
        <f t="shared" si="13"/>
        <v>Best Case2</v>
      </c>
      <c r="R80" s="266">
        <v>2</v>
      </c>
      <c r="S80" s="250">
        <f>VLOOKUP(Q80,Q41:V77,3,0)</f>
        <v>5511286</v>
      </c>
      <c r="T80" s="250">
        <f t="shared" si="14"/>
        <v>-983044.70000000007</v>
      </c>
      <c r="U80" s="250">
        <f t="shared" ref="U80:U88" si="15">VLOOKUP(Q80,Q41:V77,5,0)</f>
        <v>4528241.3</v>
      </c>
      <c r="V80" s="250">
        <f>VLOOKUP(Q80,Q41:V77,6,0)</f>
        <v>8067724.2999999998</v>
      </c>
      <c r="W80" s="257"/>
      <c r="X80" s="257"/>
      <c r="Y80" s="257"/>
      <c r="Z80" s="257"/>
      <c r="AA80" s="257"/>
      <c r="AB80" s="257"/>
      <c r="AC80" s="257"/>
      <c r="AD80" s="257"/>
      <c r="AE80" s="257"/>
      <c r="AF80" s="257"/>
    </row>
    <row r="81" spans="2:32" ht="0.75" customHeight="1">
      <c r="B81" s="25"/>
      <c r="C81" s="61"/>
      <c r="D81" s="25"/>
      <c r="E81" s="32"/>
      <c r="F81" s="25"/>
      <c r="G81" s="54"/>
      <c r="H81" s="119"/>
      <c r="I81" s="119"/>
      <c r="J81" s="121"/>
      <c r="K81" s="25"/>
      <c r="L81" s="59"/>
      <c r="M81" s="31" t="s">
        <v>23</v>
      </c>
      <c r="N81" s="270" t="s">
        <v>29</v>
      </c>
      <c r="O81" s="270"/>
      <c r="Q81" s="248" t="str">
        <f t="shared" si="13"/>
        <v>Best Case3</v>
      </c>
      <c r="R81" s="266">
        <v>3</v>
      </c>
      <c r="S81" s="250">
        <f t="shared" ref="S81:S88" si="16">VLOOKUP(Q81,Q42:V78,3,0)</f>
        <v>6062414.6000000006</v>
      </c>
      <c r="T81" s="250">
        <f t="shared" si="14"/>
        <v>-1081349.1700000002</v>
      </c>
      <c r="U81" s="250">
        <f t="shared" si="15"/>
        <v>4981065.4300000006</v>
      </c>
      <c r="V81" s="250">
        <f t="shared" ref="V81:V88" si="17">VLOOKUP(Q81,Q42:V78,6,0)</f>
        <v>13048789.73</v>
      </c>
      <c r="W81" s="257"/>
      <c r="X81" s="257"/>
      <c r="Y81" s="257"/>
      <c r="Z81" s="257"/>
      <c r="AA81" s="257"/>
      <c r="AB81" s="257"/>
      <c r="AC81" s="257"/>
      <c r="AD81" s="257"/>
      <c r="AE81" s="257"/>
      <c r="AF81" s="257"/>
    </row>
    <row r="82" spans="2:32" ht="1.5" customHeight="1">
      <c r="B82" s="88"/>
      <c r="C82" s="88"/>
      <c r="D82" s="88"/>
      <c r="E82" s="88"/>
      <c r="F82" s="88"/>
      <c r="G82" s="88"/>
      <c r="H82" s="88"/>
      <c r="I82" s="88"/>
      <c r="J82" s="88"/>
      <c r="K82" s="88"/>
      <c r="L82" s="59"/>
      <c r="M82" s="28" t="s">
        <v>35</v>
      </c>
      <c r="N82" s="270" t="s">
        <v>34</v>
      </c>
      <c r="O82" s="270"/>
      <c r="Q82" s="248" t="str">
        <f t="shared" si="13"/>
        <v>Best Case4</v>
      </c>
      <c r="R82" s="266">
        <v>4</v>
      </c>
      <c r="S82" s="250">
        <f t="shared" si="16"/>
        <v>6668656.0600000015</v>
      </c>
      <c r="T82" s="250">
        <f t="shared" si="14"/>
        <v>-1189484.0870000003</v>
      </c>
      <c r="U82" s="250">
        <f t="shared" si="15"/>
        <v>5479171.9730000012</v>
      </c>
      <c r="V82" s="250">
        <f t="shared" si="17"/>
        <v>18527961.703000002</v>
      </c>
      <c r="W82" s="257"/>
      <c r="X82" s="257"/>
      <c r="Y82" s="257"/>
      <c r="Z82" s="257"/>
      <c r="AA82" s="257"/>
      <c r="AB82" s="257"/>
      <c r="AC82" s="257"/>
      <c r="AD82" s="257"/>
      <c r="AE82" s="257"/>
      <c r="AF82" s="257"/>
    </row>
    <row r="83" spans="2:32" ht="12" customHeight="1">
      <c r="B83" s="25"/>
      <c r="C83" s="25"/>
      <c r="D83" s="25"/>
      <c r="E83" s="25"/>
      <c r="F83" s="25"/>
      <c r="G83" s="25"/>
      <c r="H83" s="25"/>
      <c r="I83" s="25"/>
      <c r="J83" s="25"/>
      <c r="K83" s="25"/>
      <c r="L83" s="59"/>
      <c r="M83" s="31" t="s">
        <v>24</v>
      </c>
      <c r="N83" s="270" t="s">
        <v>30</v>
      </c>
      <c r="O83" s="270"/>
      <c r="Q83" s="248" t="str">
        <f t="shared" si="13"/>
        <v>Best Case5</v>
      </c>
      <c r="R83" s="266">
        <v>5</v>
      </c>
      <c r="S83" s="250">
        <f t="shared" si="16"/>
        <v>7335521.6660000021</v>
      </c>
      <c r="T83" s="250">
        <f t="shared" ref="T83:T88" si="18">VLOOKUP(Q83,$Q$39:$V$73,4,0)</f>
        <v>-1308432.4957000003</v>
      </c>
      <c r="U83" s="250">
        <f t="shared" si="15"/>
        <v>6027089.1703000013</v>
      </c>
      <c r="V83" s="250">
        <f t="shared" si="17"/>
        <v>24555050.873300001</v>
      </c>
      <c r="W83" s="257"/>
      <c r="X83" s="257"/>
      <c r="Y83" s="257"/>
      <c r="Z83" s="257"/>
      <c r="AA83" s="257"/>
      <c r="AB83" s="257"/>
      <c r="AC83" s="257"/>
      <c r="AD83" s="257"/>
      <c r="AE83" s="257"/>
      <c r="AF83" s="257"/>
    </row>
    <row r="84" spans="2:32" ht="15.75" customHeight="1">
      <c r="B84" s="116"/>
      <c r="C84" s="116"/>
      <c r="D84" s="25"/>
      <c r="E84" s="24"/>
      <c r="F84" s="25"/>
      <c r="G84" s="25"/>
      <c r="H84" s="25"/>
      <c r="I84" s="25"/>
      <c r="J84" s="25"/>
      <c r="K84" s="25"/>
      <c r="L84" s="59"/>
      <c r="M84" s="28" t="s">
        <v>26</v>
      </c>
      <c r="N84" s="270" t="s">
        <v>32</v>
      </c>
      <c r="O84" s="270"/>
      <c r="Q84" s="248" t="str">
        <f t="shared" si="13"/>
        <v>Best Case6</v>
      </c>
      <c r="R84" s="266">
        <v>6</v>
      </c>
      <c r="S84" s="250">
        <f t="shared" si="16"/>
        <v>8069073.8326000031</v>
      </c>
      <c r="T84" s="250">
        <f t="shared" si="18"/>
        <v>-1439275.7452700005</v>
      </c>
      <c r="U84" s="250">
        <f t="shared" si="15"/>
        <v>6629798.0873300023</v>
      </c>
      <c r="V84" s="250">
        <f t="shared" si="17"/>
        <v>31184848.960630003</v>
      </c>
      <c r="W84" s="257"/>
      <c r="X84" s="257"/>
      <c r="Y84" s="257"/>
      <c r="Z84" s="257"/>
      <c r="AA84" s="257"/>
      <c r="AB84" s="257"/>
      <c r="AC84" s="257"/>
      <c r="AD84" s="257"/>
      <c r="AE84" s="257"/>
      <c r="AF84" s="257"/>
    </row>
    <row r="85" spans="2:32" ht="12.75" customHeight="1">
      <c r="B85" s="44"/>
      <c r="C85" s="44"/>
      <c r="D85" s="44"/>
      <c r="E85" s="44"/>
      <c r="F85" s="44"/>
      <c r="G85" s="44"/>
      <c r="H85" s="44"/>
      <c r="I85" s="44"/>
      <c r="J85" s="44"/>
      <c r="K85" s="44"/>
      <c r="L85" s="59"/>
      <c r="M85" s="20"/>
      <c r="N85" s="247"/>
      <c r="Q85" s="248" t="str">
        <f t="shared" si="13"/>
        <v>Best Case7</v>
      </c>
      <c r="R85" s="266">
        <v>7</v>
      </c>
      <c r="S85" s="250">
        <f>VLOOKUP(Q85,Q46:V82,3,0)</f>
        <v>8875981.2158600036</v>
      </c>
      <c r="T85" s="250">
        <f t="shared" si="18"/>
        <v>-1583203.3197970006</v>
      </c>
      <c r="U85" s="250">
        <f t="shared" si="15"/>
        <v>7292777.8960630028</v>
      </c>
      <c r="V85" s="250">
        <f t="shared" si="17"/>
        <v>38477626.856693007</v>
      </c>
      <c r="W85" s="257"/>
      <c r="X85" s="257"/>
      <c r="Y85" s="257"/>
      <c r="Z85" s="257"/>
      <c r="AA85" s="257"/>
      <c r="AB85" s="257"/>
      <c r="AC85" s="257"/>
      <c r="AD85" s="257"/>
      <c r="AE85" s="257"/>
      <c r="AF85" s="257"/>
    </row>
    <row r="86" spans="2:32" ht="12.75" customHeight="1">
      <c r="B86" s="44"/>
      <c r="C86" s="44"/>
      <c r="D86" s="44"/>
      <c r="E86" s="44"/>
      <c r="F86" s="44"/>
      <c r="G86" s="44"/>
      <c r="H86" s="44"/>
      <c r="I86" s="44"/>
      <c r="J86" s="44"/>
      <c r="K86" s="44"/>
      <c r="L86" s="59"/>
      <c r="M86" s="20"/>
      <c r="N86" s="247"/>
      <c r="Q86" s="248" t="str">
        <f t="shared" si="13"/>
        <v>Best Case8</v>
      </c>
      <c r="R86" s="266">
        <v>8</v>
      </c>
      <c r="S86" s="250">
        <f t="shared" si="16"/>
        <v>9763579.3374460042</v>
      </c>
      <c r="T86" s="250">
        <f t="shared" si="18"/>
        <v>-1741523.6517767007</v>
      </c>
      <c r="U86" s="250">
        <f t="shared" si="15"/>
        <v>8022055.6856693029</v>
      </c>
      <c r="V86" s="250">
        <f t="shared" si="17"/>
        <v>46499682.54236231</v>
      </c>
      <c r="W86" s="257"/>
      <c r="X86" s="257"/>
      <c r="Y86" s="257"/>
      <c r="Z86" s="257"/>
      <c r="AA86" s="257"/>
      <c r="AB86" s="257"/>
      <c r="AC86" s="257"/>
      <c r="AD86" s="257"/>
      <c r="AE86" s="257"/>
      <c r="AF86" s="257"/>
    </row>
    <row r="87" spans="2:32" ht="12.75" customHeight="1">
      <c r="B87" s="44"/>
      <c r="C87" s="44"/>
      <c r="D87" s="44"/>
      <c r="E87" s="44"/>
      <c r="F87" s="44"/>
      <c r="G87" s="44"/>
      <c r="H87" s="44"/>
      <c r="I87" s="44"/>
      <c r="J87" s="44"/>
      <c r="K87" s="44"/>
      <c r="L87" s="59"/>
      <c r="M87" s="20"/>
      <c r="N87" s="247"/>
      <c r="Q87" s="248" t="str">
        <f t="shared" si="13"/>
        <v>Best Case9</v>
      </c>
      <c r="R87" s="266">
        <v>9</v>
      </c>
      <c r="S87" s="250">
        <f t="shared" si="16"/>
        <v>10739937.271190606</v>
      </c>
      <c r="T87" s="250">
        <f t="shared" si="18"/>
        <v>-1915676.016954371</v>
      </c>
      <c r="U87" s="250">
        <f t="shared" si="15"/>
        <v>8824261.2542362344</v>
      </c>
      <c r="V87" s="250">
        <f t="shared" si="17"/>
        <v>55323943.796598546</v>
      </c>
      <c r="W87" s="257"/>
      <c r="X87" s="257"/>
      <c r="Y87" s="257"/>
      <c r="Z87" s="257"/>
      <c r="AA87" s="257"/>
      <c r="AB87" s="257"/>
      <c r="AC87" s="257"/>
      <c r="AD87" s="257"/>
      <c r="AE87" s="257"/>
      <c r="AF87" s="257"/>
    </row>
    <row r="88" spans="2:32" ht="12.75" customHeight="1">
      <c r="B88" s="44"/>
      <c r="C88" s="44"/>
      <c r="D88" s="44"/>
      <c r="E88" s="44"/>
      <c r="F88" s="44"/>
      <c r="G88" s="44"/>
      <c r="H88" s="44"/>
      <c r="I88" s="44"/>
      <c r="J88" s="44"/>
      <c r="K88" s="44"/>
      <c r="L88" s="59"/>
      <c r="M88" s="20"/>
      <c r="N88" s="247"/>
      <c r="Q88" s="248" t="str">
        <f t="shared" si="13"/>
        <v>Best Case10</v>
      </c>
      <c r="R88" s="266">
        <v>10</v>
      </c>
      <c r="S88" s="250">
        <f t="shared" si="16"/>
        <v>11813930.998309668</v>
      </c>
      <c r="T88" s="250">
        <f t="shared" si="18"/>
        <v>-2107243.6186498082</v>
      </c>
      <c r="U88" s="250">
        <f t="shared" si="15"/>
        <v>9706687.3796598595</v>
      </c>
      <c r="V88" s="250">
        <f t="shared" si="17"/>
        <v>65030631.176258408</v>
      </c>
      <c r="W88" s="257"/>
      <c r="X88" s="257"/>
      <c r="Y88" s="257"/>
      <c r="Z88" s="257"/>
      <c r="AA88" s="257"/>
      <c r="AB88" s="257"/>
      <c r="AC88" s="257"/>
      <c r="AD88" s="257"/>
      <c r="AE88" s="257"/>
      <c r="AF88" s="257"/>
    </row>
    <row r="89" spans="2:32" ht="12.75" customHeight="1">
      <c r="B89" s="44"/>
      <c r="C89" s="44"/>
      <c r="D89" s="44"/>
      <c r="E89" s="44"/>
      <c r="F89" s="44"/>
      <c r="G89" s="44"/>
      <c r="H89" s="44"/>
      <c r="I89" s="44"/>
      <c r="J89" s="44"/>
      <c r="K89" s="44"/>
      <c r="L89" s="59"/>
      <c r="M89" s="20"/>
      <c r="N89" s="247"/>
    </row>
    <row r="90" spans="2:32" ht="12.75" customHeight="1">
      <c r="B90" s="44"/>
      <c r="C90" s="44"/>
      <c r="D90" s="44"/>
      <c r="E90" s="44"/>
      <c r="F90" s="44"/>
      <c r="G90" s="44"/>
      <c r="H90" s="44"/>
      <c r="I90" s="44"/>
      <c r="J90" s="44"/>
      <c r="K90" s="44"/>
      <c r="L90" s="59"/>
      <c r="M90" s="20"/>
      <c r="N90" s="247"/>
    </row>
    <row r="91" spans="2:32" ht="12.75" hidden="1" customHeight="1">
      <c r="B91" s="44"/>
      <c r="C91" s="44"/>
      <c r="D91" s="44"/>
      <c r="E91" s="44"/>
      <c r="F91" s="44"/>
      <c r="G91" s="44"/>
      <c r="H91" s="44"/>
      <c r="I91" s="44"/>
      <c r="J91" s="44"/>
      <c r="K91" s="44"/>
      <c r="L91" s="233"/>
    </row>
    <row r="92" spans="2:32" ht="12.75" hidden="1" customHeight="1">
      <c r="B92" s="44"/>
      <c r="C92" s="44"/>
      <c r="D92" s="44"/>
      <c r="E92" s="44"/>
      <c r="F92" s="44"/>
      <c r="G92" s="44"/>
      <c r="H92" s="44"/>
      <c r="I92" s="44"/>
      <c r="J92" s="44"/>
      <c r="K92" s="44"/>
      <c r="L92" s="233"/>
    </row>
    <row r="93" spans="2:32" ht="12.75" hidden="1" customHeight="1">
      <c r="B93" s="44"/>
      <c r="C93" s="44"/>
      <c r="D93" s="44"/>
      <c r="E93" s="44"/>
      <c r="F93" s="44"/>
      <c r="G93" s="44"/>
      <c r="H93" s="44"/>
      <c r="I93" s="44"/>
      <c r="J93" s="44"/>
      <c r="K93" s="44"/>
      <c r="L93" s="233"/>
    </row>
    <row r="94" spans="2:32" ht="12.75" hidden="1" customHeight="1">
      <c r="B94" s="44"/>
      <c r="C94" s="44"/>
      <c r="D94" s="44"/>
      <c r="E94" s="44"/>
      <c r="F94" s="44"/>
      <c r="G94" s="44"/>
      <c r="H94" s="44"/>
      <c r="I94" s="44"/>
      <c r="J94" s="44"/>
      <c r="K94" s="44"/>
      <c r="L94" s="233"/>
    </row>
    <row r="95" spans="2:32" ht="12.75" hidden="1" customHeight="1">
      <c r="B95" s="44"/>
      <c r="C95" s="44"/>
      <c r="D95" s="44"/>
      <c r="E95" s="44"/>
      <c r="F95" s="44"/>
      <c r="G95" s="44"/>
      <c r="H95" s="44"/>
      <c r="I95" s="44"/>
      <c r="J95" s="44"/>
      <c r="K95" s="44"/>
      <c r="L95" s="233"/>
      <c r="V95" s="248"/>
    </row>
    <row r="96" spans="2:32" ht="12.75" hidden="1" customHeight="1">
      <c r="B96" s="44"/>
      <c r="C96" s="44"/>
      <c r="D96" s="44"/>
      <c r="E96" s="44"/>
      <c r="F96" s="44"/>
      <c r="G96" s="44"/>
      <c r="H96" s="44"/>
      <c r="I96" s="44"/>
      <c r="J96" s="44"/>
      <c r="K96" s="44"/>
      <c r="L96" s="233"/>
      <c r="V96" s="248"/>
    </row>
    <row r="97" spans="2:22" ht="12.75" hidden="1" customHeight="1">
      <c r="B97" s="44"/>
      <c r="C97" s="44"/>
      <c r="D97" s="44"/>
      <c r="E97" s="44"/>
      <c r="F97" s="44"/>
      <c r="G97" s="44"/>
      <c r="H97" s="44"/>
      <c r="I97" s="44"/>
      <c r="J97" s="44"/>
      <c r="K97" s="44"/>
      <c r="L97" s="233"/>
      <c r="V97" s="248"/>
    </row>
    <row r="98" spans="2:22" ht="12.75" hidden="1" customHeight="1">
      <c r="B98" s="44"/>
      <c r="C98" s="44"/>
      <c r="D98" s="44"/>
      <c r="E98" s="44"/>
      <c r="F98" s="44"/>
      <c r="G98" s="44"/>
      <c r="H98" s="44"/>
      <c r="I98" s="44"/>
      <c r="J98" s="44"/>
      <c r="K98" s="44"/>
      <c r="L98" s="233"/>
    </row>
    <row r="99" spans="2:22" ht="12.75" hidden="1" customHeight="1">
      <c r="B99" s="44"/>
      <c r="C99" s="44"/>
      <c r="D99" s="44"/>
      <c r="E99" s="44"/>
      <c r="F99" s="44"/>
      <c r="G99" s="44"/>
      <c r="H99" s="44"/>
      <c r="I99" s="44"/>
      <c r="J99" s="44"/>
      <c r="K99" s="44"/>
      <c r="L99" s="233"/>
    </row>
    <row r="100" spans="2:22" ht="12.75" hidden="1" customHeight="1">
      <c r="B100" s="44"/>
      <c r="C100" s="44"/>
      <c r="D100" s="44"/>
      <c r="E100" s="44"/>
      <c r="F100" s="44"/>
      <c r="G100" s="44"/>
      <c r="H100" s="44"/>
      <c r="I100" s="44"/>
      <c r="J100" s="44"/>
      <c r="K100" s="44"/>
      <c r="L100" s="233"/>
    </row>
    <row r="101" spans="2:22" ht="12.75" hidden="1" customHeight="1">
      <c r="B101" s="44"/>
      <c r="C101" s="44"/>
      <c r="D101" s="44"/>
      <c r="E101" s="44"/>
      <c r="F101" s="44"/>
      <c r="G101" s="44"/>
      <c r="H101" s="44"/>
      <c r="I101" s="44"/>
      <c r="J101" s="44"/>
      <c r="K101" s="44"/>
      <c r="L101" s="233"/>
    </row>
    <row r="102" spans="2:22" ht="12.75" hidden="1" customHeight="1">
      <c r="B102" s="44"/>
      <c r="C102" s="44"/>
      <c r="D102" s="44"/>
      <c r="E102" s="44"/>
      <c r="F102" s="44"/>
      <c r="G102" s="44"/>
      <c r="H102" s="44"/>
      <c r="I102" s="44"/>
      <c r="J102" s="44"/>
      <c r="K102" s="44"/>
      <c r="L102" s="233"/>
    </row>
    <row r="103" spans="2:22" ht="12.75" hidden="1" customHeight="1">
      <c r="B103" s="44"/>
      <c r="C103" s="44"/>
      <c r="D103" s="44"/>
      <c r="E103" s="44"/>
      <c r="F103" s="44"/>
      <c r="G103" s="44"/>
      <c r="H103" s="44"/>
      <c r="I103" s="44"/>
      <c r="J103" s="44"/>
      <c r="K103" s="44"/>
      <c r="L103" s="233"/>
    </row>
    <row r="104" spans="2:22" ht="12.75" hidden="1" customHeight="1">
      <c r="B104" s="44"/>
      <c r="C104" s="44"/>
      <c r="D104" s="44"/>
      <c r="E104" s="44"/>
      <c r="F104" s="44"/>
      <c r="G104" s="44"/>
      <c r="H104" s="44"/>
      <c r="I104" s="44"/>
      <c r="J104" s="44"/>
      <c r="K104" s="44"/>
      <c r="L104" s="233"/>
    </row>
    <row r="105" spans="2:22" ht="12.75" hidden="1" customHeight="1">
      <c r="B105" s="44"/>
      <c r="C105" s="44"/>
      <c r="D105" s="44"/>
      <c r="E105" s="44"/>
      <c r="F105" s="44"/>
      <c r="G105" s="44"/>
      <c r="H105" s="44"/>
      <c r="I105" s="44"/>
      <c r="J105" s="44"/>
      <c r="K105" s="44"/>
      <c r="L105" s="233"/>
    </row>
    <row r="106" spans="2:22" ht="12.75" hidden="1" customHeight="1">
      <c r="B106" s="44"/>
      <c r="C106" s="44"/>
      <c r="D106" s="44"/>
      <c r="E106" s="44"/>
      <c r="F106" s="44"/>
      <c r="G106" s="44"/>
      <c r="H106" s="44"/>
      <c r="I106" s="44"/>
      <c r="J106" s="44"/>
      <c r="K106" s="44"/>
      <c r="L106" s="233"/>
    </row>
    <row r="107" spans="2:22" ht="12.75" hidden="1" customHeight="1">
      <c r="B107" s="44"/>
      <c r="C107" s="44"/>
      <c r="D107" s="44"/>
      <c r="E107" s="44"/>
      <c r="F107" s="44"/>
      <c r="G107" s="44"/>
      <c r="H107" s="44"/>
      <c r="I107" s="44"/>
      <c r="J107" s="44"/>
      <c r="K107" s="44"/>
      <c r="L107" s="233"/>
    </row>
    <row r="108" spans="2:22" ht="12.75" hidden="1" customHeight="1">
      <c r="B108" s="44"/>
      <c r="C108" s="44"/>
      <c r="D108" s="44"/>
      <c r="E108" s="44"/>
      <c r="F108" s="44"/>
      <c r="G108" s="44"/>
      <c r="H108" s="44"/>
      <c r="I108" s="44"/>
      <c r="J108" s="44"/>
      <c r="K108" s="44"/>
      <c r="L108" s="233"/>
    </row>
    <row r="109" spans="2:22" ht="12.75" hidden="1" customHeight="1">
      <c r="B109" s="44"/>
      <c r="C109" s="44"/>
      <c r="D109" s="44"/>
      <c r="E109" s="44"/>
      <c r="F109" s="44"/>
      <c r="G109" s="44"/>
      <c r="H109" s="44"/>
      <c r="I109" s="44"/>
      <c r="J109" s="44"/>
      <c r="K109" s="44"/>
      <c r="L109" s="233"/>
    </row>
    <row r="110" spans="2:22" ht="12.75" hidden="1" customHeight="1">
      <c r="B110" s="44"/>
      <c r="C110" s="44"/>
      <c r="D110" s="44"/>
      <c r="E110" s="44"/>
      <c r="F110" s="44"/>
      <c r="G110" s="44"/>
      <c r="H110" s="44"/>
      <c r="I110" s="44"/>
      <c r="J110" s="44"/>
      <c r="K110" s="44"/>
      <c r="L110" s="233"/>
    </row>
    <row r="111" spans="2:22" ht="12.75" hidden="1" customHeight="1">
      <c r="B111" s="44"/>
      <c r="C111" s="44"/>
      <c r="D111" s="44"/>
      <c r="E111" s="44"/>
      <c r="F111" s="44"/>
      <c r="G111" s="44"/>
      <c r="H111" s="44"/>
      <c r="I111" s="44"/>
      <c r="J111" s="44"/>
      <c r="K111" s="44"/>
      <c r="L111" s="233"/>
    </row>
    <row r="112" spans="2:22" ht="12.75" hidden="1" customHeight="1">
      <c r="B112" s="44"/>
      <c r="C112" s="44"/>
      <c r="D112" s="44"/>
      <c r="E112" s="44"/>
      <c r="F112" s="44"/>
      <c r="G112" s="44"/>
      <c r="H112" s="44"/>
      <c r="I112" s="44"/>
      <c r="J112" s="44"/>
      <c r="K112" s="44"/>
      <c r="L112" s="233"/>
    </row>
    <row r="113" spans="2:12" ht="12.75" hidden="1" customHeight="1">
      <c r="B113" s="44"/>
      <c r="C113" s="44"/>
      <c r="D113" s="44"/>
      <c r="E113" s="44"/>
      <c r="F113" s="44"/>
      <c r="G113" s="44"/>
      <c r="H113" s="44"/>
      <c r="I113" s="44"/>
      <c r="J113" s="44"/>
      <c r="K113" s="44"/>
      <c r="L113" s="233"/>
    </row>
    <row r="114" spans="2:12" ht="12.75" hidden="1" customHeight="1">
      <c r="B114" s="44"/>
      <c r="C114" s="44"/>
      <c r="D114" s="44"/>
      <c r="E114" s="44"/>
      <c r="F114" s="44"/>
      <c r="G114" s="44"/>
      <c r="H114" s="44"/>
      <c r="I114" s="44"/>
      <c r="J114" s="44"/>
      <c r="K114" s="44"/>
      <c r="L114" s="233"/>
    </row>
    <row r="115" spans="2:12" ht="12.75" hidden="1" customHeight="1">
      <c r="B115" s="44"/>
      <c r="C115" s="44"/>
      <c r="D115" s="44"/>
      <c r="E115" s="44"/>
      <c r="F115" s="44"/>
      <c r="G115" s="44"/>
      <c r="H115" s="44"/>
      <c r="I115" s="44"/>
      <c r="J115" s="44"/>
      <c r="K115" s="44"/>
      <c r="L115" s="233"/>
    </row>
    <row r="116" spans="2:12" ht="12.75" hidden="1" customHeight="1">
      <c r="B116" s="44"/>
      <c r="C116" s="44"/>
      <c r="D116" s="44"/>
      <c r="E116" s="44"/>
      <c r="F116" s="44"/>
      <c r="G116" s="44"/>
      <c r="H116" s="44"/>
      <c r="I116" s="44"/>
      <c r="J116" s="44"/>
      <c r="K116" s="44"/>
      <c r="L116" s="233"/>
    </row>
    <row r="117" spans="2:12" ht="12.75" hidden="1" customHeight="1">
      <c r="B117" s="44"/>
      <c r="C117" s="44"/>
      <c r="D117" s="44"/>
      <c r="E117" s="44"/>
      <c r="F117" s="44"/>
      <c r="G117" s="44"/>
      <c r="H117" s="44"/>
      <c r="I117" s="44"/>
      <c r="J117" s="44"/>
      <c r="K117" s="44"/>
      <c r="L117" s="233"/>
    </row>
    <row r="118" spans="2:12" ht="12.75" hidden="1" customHeight="1">
      <c r="B118" s="44"/>
      <c r="C118" s="44"/>
      <c r="D118" s="44"/>
      <c r="E118" s="44"/>
      <c r="F118" s="44"/>
      <c r="G118" s="44"/>
      <c r="H118" s="44"/>
      <c r="I118" s="44"/>
      <c r="J118" s="44"/>
      <c r="K118" s="44"/>
      <c r="L118" s="233"/>
    </row>
    <row r="119" spans="2:12" ht="12.75" hidden="1" customHeight="1">
      <c r="B119" s="44"/>
      <c r="C119" s="44"/>
      <c r="D119" s="44"/>
      <c r="E119" s="44"/>
      <c r="F119" s="44"/>
      <c r="G119" s="44"/>
      <c r="H119" s="44"/>
      <c r="I119" s="44"/>
      <c r="J119" s="44"/>
      <c r="K119" s="44"/>
      <c r="L119" s="233"/>
    </row>
    <row r="120" spans="2:12" ht="12.75" hidden="1" customHeight="1">
      <c r="B120" s="44"/>
      <c r="C120" s="44"/>
      <c r="D120" s="44"/>
      <c r="E120" s="44"/>
      <c r="F120" s="44"/>
      <c r="G120" s="44"/>
      <c r="H120" s="44"/>
      <c r="I120" s="44"/>
      <c r="J120" s="44"/>
      <c r="K120" s="44"/>
      <c r="L120" s="233"/>
    </row>
    <row r="121" spans="2:12" ht="12.75" hidden="1" customHeight="1">
      <c r="B121" s="44"/>
      <c r="C121" s="44"/>
      <c r="D121" s="44"/>
      <c r="E121" s="44"/>
      <c r="F121" s="44"/>
      <c r="G121" s="44"/>
      <c r="H121" s="44"/>
      <c r="I121" s="44"/>
      <c r="J121" s="44"/>
      <c r="K121" s="44"/>
      <c r="L121" s="233"/>
    </row>
    <row r="122" spans="2:12" ht="12.75" hidden="1" customHeight="1">
      <c r="B122" s="44"/>
      <c r="C122" s="44"/>
      <c r="D122" s="44"/>
      <c r="E122" s="44"/>
      <c r="F122" s="44"/>
      <c r="G122" s="44"/>
      <c r="H122" s="44"/>
      <c r="I122" s="44"/>
      <c r="J122" s="44"/>
      <c r="K122" s="44"/>
      <c r="L122" s="233"/>
    </row>
    <row r="123" spans="2:12" ht="12.75" hidden="1" customHeight="1">
      <c r="B123" s="44"/>
      <c r="C123" s="44"/>
      <c r="D123" s="44"/>
      <c r="E123" s="44"/>
      <c r="F123" s="44"/>
      <c r="G123" s="44"/>
      <c r="H123" s="44"/>
      <c r="I123" s="44"/>
      <c r="J123" s="44"/>
      <c r="K123" s="44"/>
      <c r="L123" s="233"/>
    </row>
    <row r="124" spans="2:12" ht="12.75" hidden="1" customHeight="1">
      <c r="B124" s="44"/>
      <c r="C124" s="44"/>
      <c r="D124" s="44"/>
      <c r="E124" s="44"/>
      <c r="F124" s="44"/>
      <c r="G124" s="44"/>
      <c r="H124" s="44"/>
      <c r="I124" s="44"/>
      <c r="J124" s="44"/>
      <c r="K124" s="44"/>
      <c r="L124" s="233"/>
    </row>
    <row r="125" spans="2:12" ht="12.75" hidden="1" customHeight="1">
      <c r="B125" s="44"/>
      <c r="C125" s="44"/>
      <c r="D125" s="44"/>
      <c r="E125" s="44"/>
      <c r="F125" s="44"/>
      <c r="G125" s="44"/>
      <c r="H125" s="44"/>
      <c r="I125" s="44"/>
      <c r="J125" s="44"/>
      <c r="K125" s="44"/>
      <c r="L125" s="233"/>
    </row>
    <row r="126" spans="2:12" ht="12.75" hidden="1" customHeight="1">
      <c r="B126" s="44"/>
      <c r="C126" s="44"/>
      <c r="D126" s="44"/>
      <c r="E126" s="44"/>
      <c r="F126" s="44"/>
      <c r="G126" s="44"/>
      <c r="H126" s="44"/>
      <c r="I126" s="44"/>
      <c r="J126" s="44"/>
      <c r="K126" s="44"/>
      <c r="L126" s="233"/>
    </row>
    <row r="127" spans="2:12" ht="12.75" hidden="1" customHeight="1">
      <c r="B127" s="44"/>
      <c r="C127" s="44"/>
      <c r="D127" s="44"/>
      <c r="E127" s="44"/>
      <c r="F127" s="44"/>
      <c r="G127" s="44"/>
      <c r="H127" s="44"/>
      <c r="I127" s="44"/>
      <c r="J127" s="44"/>
      <c r="K127" s="44"/>
      <c r="L127" s="233"/>
    </row>
    <row r="128" spans="2:12" ht="12.75" hidden="1" customHeight="1">
      <c r="B128" s="44"/>
      <c r="C128" s="44"/>
      <c r="D128" s="44"/>
      <c r="E128" s="44"/>
      <c r="F128" s="44"/>
      <c r="G128" s="44"/>
      <c r="H128" s="44"/>
      <c r="I128" s="44"/>
      <c r="J128" s="44"/>
      <c r="K128" s="44"/>
      <c r="L128" s="233"/>
    </row>
    <row r="129" spans="2:12" ht="12.75" hidden="1" customHeight="1">
      <c r="B129" s="44"/>
      <c r="C129" s="44"/>
      <c r="D129" s="44"/>
      <c r="E129" s="44"/>
      <c r="F129" s="44"/>
      <c r="G129" s="44"/>
      <c r="H129" s="44"/>
      <c r="I129" s="44"/>
      <c r="J129" s="44"/>
      <c r="K129" s="44"/>
      <c r="L129" s="233"/>
    </row>
    <row r="130" spans="2:12" ht="12.75" hidden="1" customHeight="1">
      <c r="B130" s="44"/>
      <c r="C130" s="44"/>
      <c r="D130" s="44"/>
      <c r="E130" s="44"/>
      <c r="F130" s="44"/>
      <c r="G130" s="44"/>
      <c r="H130" s="44"/>
      <c r="I130" s="44"/>
      <c r="J130" s="44"/>
      <c r="K130" s="44"/>
      <c r="L130" s="233"/>
    </row>
  </sheetData>
  <sheetProtection sheet="1" selectLockedCells="1"/>
  <mergeCells count="4">
    <mergeCell ref="E10:E16"/>
    <mergeCell ref="G10:J16"/>
    <mergeCell ref="Q8:S8"/>
    <mergeCell ref="U8:W8"/>
  </mergeCells>
  <phoneticPr fontId="13" type="noConversion"/>
  <dataValidations disablePrompts="1" count="1">
    <dataValidation type="list" allowBlank="1" showInputMessage="1" showErrorMessage="1" sqref="E80" xr:uid="{29B2361B-9AB7-43BD-BAF0-4B954AD4E640}">
      <formula1>"Pre-exploration phase, Exploration phase, Data preprocessing phase, Model creation phase, Post-MVP/ Pre- depl. assessment, Deployment phase, Operation phase"</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Option Button 4">
              <controlPr defaultSize="0" autoFill="0" autoLine="0" autoPict="0" altText="Best Case">
                <anchor moveWithCells="1">
                  <from>
                    <xdr:col>1</xdr:col>
                    <xdr:colOff>177800</xdr:colOff>
                    <xdr:row>18</xdr:row>
                    <xdr:rowOff>177800</xdr:rowOff>
                  </from>
                  <to>
                    <xdr:col>2</xdr:col>
                    <xdr:colOff>406400</xdr:colOff>
                    <xdr:row>19</xdr:row>
                    <xdr:rowOff>254000</xdr:rowOff>
                  </to>
                </anchor>
              </controlPr>
            </control>
          </mc:Choice>
        </mc:AlternateContent>
        <mc:AlternateContent xmlns:mc="http://schemas.openxmlformats.org/markup-compatibility/2006">
          <mc:Choice Requires="x14">
            <control shapeId="6149" r:id="rId5" name="Option Button 5">
              <controlPr defaultSize="0" autoFill="0" autoLine="0" autoPict="0">
                <anchor moveWithCells="1">
                  <from>
                    <xdr:col>1</xdr:col>
                    <xdr:colOff>177800</xdr:colOff>
                    <xdr:row>19</xdr:row>
                    <xdr:rowOff>203200</xdr:rowOff>
                  </from>
                  <to>
                    <xdr:col>2</xdr:col>
                    <xdr:colOff>406400</xdr:colOff>
                    <xdr:row>20</xdr:row>
                    <xdr:rowOff>114300</xdr:rowOff>
                  </to>
                </anchor>
              </controlPr>
            </control>
          </mc:Choice>
        </mc:AlternateContent>
        <mc:AlternateContent xmlns:mc="http://schemas.openxmlformats.org/markup-compatibility/2006">
          <mc:Choice Requires="x14">
            <control shapeId="6150" r:id="rId6" name="Option Button 6">
              <controlPr defaultSize="0" autoFill="0" autoLine="0" autoPict="0">
                <anchor moveWithCells="1">
                  <from>
                    <xdr:col>1</xdr:col>
                    <xdr:colOff>177800</xdr:colOff>
                    <xdr:row>20</xdr:row>
                    <xdr:rowOff>76200</xdr:rowOff>
                  </from>
                  <to>
                    <xdr:col>2</xdr:col>
                    <xdr:colOff>406400</xdr:colOff>
                    <xdr:row>21</xdr:row>
                    <xdr:rowOff>152400</xdr:rowOff>
                  </to>
                </anchor>
              </controlPr>
            </control>
          </mc:Choice>
        </mc:AlternateContent>
      </controls>
    </mc:Choice>
  </mc:AlternateContent>
  <tableParts count="3">
    <tablePart r:id="rId7"/>
    <tablePart r:id="rId8"/>
    <tablePart r:id="rId9"/>
  </tableParts>
  <extLst>
    <ext xmlns:x14="http://schemas.microsoft.com/office/spreadsheetml/2009/9/main" uri="{78C0D931-6437-407d-A8EE-F0AAD7539E65}">
      <x14:conditionalFormattings>
        <x14:conditionalFormatting xmlns:xm="http://schemas.microsoft.com/office/excel/2006/main">
          <x14:cfRule type="expression" priority="4" id="{DB8C56AE-3E25-4733-83F2-296B222D548C}">
            <xm:f>'0-Home'!$L$1="Currency: USD"</xm:f>
            <x14:dxf>
              <numFmt numFmtId="171" formatCode="&quot;$&quot;#,##0"/>
            </x14:dxf>
          </x14:cfRule>
          <xm:sqref>O8:O47 S10:S16 W10:W14 V23:V28 R28 S33:S36 S39:AE75</xm:sqref>
        </x14:conditionalFormatting>
        <x14:conditionalFormatting xmlns:xm="http://schemas.microsoft.com/office/excel/2006/main">
          <x14:cfRule type="expression" priority="1" id="{8BA19B43-EE98-48A8-8592-FBA461AE1869}">
            <xm:f>'0-Home'!$L$1="Currency: USD"</xm:f>
            <x14:dxf>
              <numFmt numFmtId="171" formatCode="&quot;$&quot;#,##0"/>
            </x14:dxf>
          </x14:cfRule>
          <xm:sqref>AJ39:AJ74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789E7-5AA2-40EF-96EF-EC7C02C9175E}">
  <sheetPr codeName="Sheet8">
    <tabColor theme="0" tint="-0.499984740745262"/>
  </sheetPr>
  <dimension ref="A1:Y63"/>
  <sheetViews>
    <sheetView showGridLines="0" showRowColHeaders="0" zoomScale="80" zoomScaleNormal="80" workbookViewId="0">
      <pane ySplit="7" topLeftCell="A8" activePane="bottomLeft" state="frozen"/>
      <selection pane="bottomLeft" activeCell="C6" sqref="C6"/>
    </sheetView>
  </sheetViews>
  <sheetFormatPr baseColWidth="10" defaultColWidth="0" defaultRowHeight="12.75" customHeight="1" zeroHeight="1"/>
  <cols>
    <col min="1" max="1" width="5.81640625" style="18" customWidth="1"/>
    <col min="2" max="2" width="13" style="18" customWidth="1"/>
    <col min="3" max="3" width="19.453125" style="18" customWidth="1"/>
    <col min="4" max="4" width="2.81640625" style="18" customWidth="1"/>
    <col min="5" max="5" width="29.453125" style="18" customWidth="1"/>
    <col min="6" max="6" width="3.453125" style="18" customWidth="1"/>
    <col min="7" max="7" width="13" style="18" customWidth="1"/>
    <col min="8" max="8" width="2.81640625" style="18" customWidth="1"/>
    <col min="9" max="9" width="29.453125" style="18" customWidth="1"/>
    <col min="10" max="10" width="3.453125" style="18" customWidth="1"/>
    <col min="11" max="11" width="13" style="157" customWidth="1"/>
    <col min="12" max="12" width="2.81640625" style="18" customWidth="1"/>
    <col min="13" max="13" width="29.453125" style="18" customWidth="1"/>
    <col min="14" max="14" width="28.54296875" style="18" customWidth="1"/>
    <col min="15" max="18" width="9.1796875" style="18" customWidth="1"/>
    <col min="19" max="19" width="2.1796875" style="18" customWidth="1"/>
    <col min="20" max="22" width="0" style="18" hidden="1" customWidth="1"/>
    <col min="23" max="16384" width="9.1796875" style="18" hidden="1"/>
  </cols>
  <sheetData>
    <row r="1" spans="2:15" ht="48" customHeight="1"/>
    <row r="2" spans="2:15" ht="15.5">
      <c r="B2" s="19"/>
      <c r="C2" s="19"/>
      <c r="D2" s="19"/>
      <c r="E2" s="19"/>
      <c r="F2" s="19"/>
      <c r="G2" s="19"/>
      <c r="H2" s="19"/>
      <c r="I2" s="19"/>
      <c r="J2" s="19"/>
      <c r="K2" s="158"/>
      <c r="L2" s="19"/>
      <c r="M2" s="19"/>
      <c r="N2" s="19"/>
      <c r="O2" s="19"/>
    </row>
    <row r="3" spans="2:15" ht="15.5">
      <c r="B3" s="19"/>
      <c r="C3" s="19"/>
      <c r="D3" s="19"/>
      <c r="E3" s="19"/>
      <c r="F3" s="19"/>
      <c r="G3" s="19"/>
      <c r="H3" s="19"/>
      <c r="I3" s="19"/>
      <c r="J3" s="19"/>
      <c r="K3" s="158"/>
      <c r="L3" s="19"/>
      <c r="M3" s="19"/>
      <c r="N3" s="19"/>
      <c r="O3" s="19"/>
    </row>
    <row r="4" spans="2:15" ht="15.5">
      <c r="B4" s="19"/>
      <c r="C4" s="19"/>
      <c r="D4" s="19"/>
      <c r="E4" s="19"/>
      <c r="F4" s="19"/>
      <c r="G4" s="19"/>
      <c r="H4" s="19"/>
      <c r="I4" s="19"/>
      <c r="J4" s="19"/>
      <c r="K4" s="158"/>
      <c r="L4" s="19"/>
      <c r="M4" s="19"/>
      <c r="N4" s="19"/>
      <c r="O4" s="19"/>
    </row>
    <row r="5" spans="2:15" ht="15.5">
      <c r="B5" s="19"/>
      <c r="C5" s="19"/>
      <c r="D5" s="19"/>
      <c r="E5" s="19"/>
      <c r="F5" s="19"/>
      <c r="G5" s="19"/>
      <c r="H5" s="19"/>
      <c r="I5" s="19"/>
      <c r="J5" s="19"/>
      <c r="K5" s="158"/>
      <c r="L5" s="19"/>
      <c r="M5" s="19"/>
      <c r="N5" s="19"/>
      <c r="O5" s="19"/>
    </row>
    <row r="6" spans="2:15" ht="15.5">
      <c r="B6" s="19"/>
      <c r="C6" s="19"/>
      <c r="D6" s="19"/>
      <c r="E6" s="19"/>
      <c r="F6" s="19"/>
      <c r="G6" s="19"/>
      <c r="H6" s="19"/>
      <c r="I6" s="19"/>
      <c r="J6" s="19"/>
      <c r="K6" s="158"/>
      <c r="L6" s="19"/>
      <c r="M6" s="19"/>
      <c r="N6" s="19"/>
      <c r="O6" s="19"/>
    </row>
    <row r="7" spans="2:15" ht="15.5">
      <c r="B7" s="19"/>
      <c r="C7" s="19"/>
      <c r="D7" s="19"/>
      <c r="E7" s="19"/>
      <c r="F7" s="19"/>
      <c r="G7" s="19"/>
      <c r="H7" s="19"/>
      <c r="I7" s="19"/>
      <c r="J7" s="19"/>
      <c r="K7" s="158"/>
      <c r="L7" s="19"/>
      <c r="M7" s="19"/>
      <c r="N7" s="19"/>
      <c r="O7" s="19"/>
    </row>
    <row r="8" spans="2:15" ht="15.5">
      <c r="B8" s="25"/>
      <c r="C8" s="25"/>
      <c r="D8" s="25"/>
      <c r="E8" s="25"/>
      <c r="F8" s="25"/>
      <c r="G8" s="25"/>
      <c r="H8" s="25"/>
      <c r="I8" s="25"/>
      <c r="J8" s="25"/>
      <c r="K8" s="159"/>
      <c r="L8" s="25"/>
      <c r="M8" s="25"/>
      <c r="N8" s="25"/>
      <c r="O8" s="25"/>
    </row>
    <row r="9" spans="2:15" ht="30" customHeight="1">
      <c r="B9" s="160"/>
      <c r="C9" s="160" t="s">
        <v>254</v>
      </c>
      <c r="D9" s="25"/>
      <c r="E9" s="337" t="s">
        <v>319</v>
      </c>
      <c r="F9" s="337"/>
      <c r="G9" s="337"/>
      <c r="H9" s="337"/>
      <c r="I9" s="337"/>
      <c r="J9" s="25"/>
      <c r="K9" s="182" t="s">
        <v>36</v>
      </c>
      <c r="L9" s="160"/>
      <c r="M9" s="32"/>
      <c r="N9" s="25"/>
      <c r="O9" s="25"/>
    </row>
    <row r="10" spans="2:15" ht="15.75" customHeight="1">
      <c r="B10" s="25"/>
      <c r="C10" s="25"/>
      <c r="D10" s="25"/>
      <c r="E10" s="219"/>
      <c r="F10" s="220"/>
      <c r="G10" s="219"/>
      <c r="H10" s="219"/>
      <c r="I10" s="221"/>
      <c r="J10" s="48"/>
      <c r="K10" s="183"/>
      <c r="L10" s="163"/>
      <c r="M10" s="24"/>
      <c r="N10" s="24"/>
      <c r="O10" s="25"/>
    </row>
    <row r="11" spans="2:15" ht="30" customHeight="1">
      <c r="B11" s="160"/>
      <c r="C11" s="164" t="s">
        <v>255</v>
      </c>
      <c r="D11" s="165"/>
      <c r="E11" s="338" t="s">
        <v>316</v>
      </c>
      <c r="F11" s="338"/>
      <c r="G11" s="338"/>
      <c r="H11" s="338"/>
      <c r="I11" s="338"/>
      <c r="J11" s="165"/>
      <c r="K11" s="184" t="s">
        <v>36</v>
      </c>
      <c r="L11" s="160"/>
      <c r="M11" s="32"/>
      <c r="N11" s="24"/>
      <c r="O11" s="25"/>
    </row>
    <row r="12" spans="2:15" ht="15.75" customHeight="1">
      <c r="B12" s="25"/>
      <c r="C12" s="25"/>
      <c r="D12" s="25"/>
      <c r="E12" s="166"/>
      <c r="F12" s="166"/>
      <c r="G12" s="166"/>
      <c r="H12" s="220"/>
      <c r="I12" s="222"/>
      <c r="J12" s="45"/>
      <c r="K12" s="185"/>
      <c r="L12" s="70"/>
      <c r="M12" s="24"/>
      <c r="N12" s="24"/>
      <c r="O12" s="25"/>
    </row>
    <row r="13" spans="2:15" ht="30" customHeight="1">
      <c r="B13" s="160"/>
      <c r="C13" s="160" t="s">
        <v>256</v>
      </c>
      <c r="D13" s="25"/>
      <c r="E13" s="337" t="s">
        <v>317</v>
      </c>
      <c r="F13" s="337"/>
      <c r="G13" s="337"/>
      <c r="H13" s="337"/>
      <c r="I13" s="337"/>
      <c r="J13" s="25"/>
      <c r="K13" s="182" t="s">
        <v>36</v>
      </c>
      <c r="L13" s="160"/>
      <c r="M13" s="32"/>
      <c r="N13" s="55"/>
      <c r="O13" s="25"/>
    </row>
    <row r="14" spans="2:15" ht="15.75" customHeight="1">
      <c r="B14" s="160"/>
      <c r="C14" s="160"/>
      <c r="D14" s="25"/>
      <c r="E14" s="168"/>
      <c r="F14" s="220"/>
      <c r="G14" s="168"/>
      <c r="H14" s="168"/>
      <c r="I14" s="72"/>
      <c r="J14" s="47"/>
      <c r="K14" s="186"/>
      <c r="L14" s="47"/>
      <c r="M14" s="24"/>
      <c r="N14" s="24"/>
      <c r="O14" s="25"/>
    </row>
    <row r="15" spans="2:15" ht="30" customHeight="1">
      <c r="B15" s="160"/>
      <c r="C15" s="164" t="s">
        <v>257</v>
      </c>
      <c r="D15" s="165"/>
      <c r="E15" s="338" t="s">
        <v>318</v>
      </c>
      <c r="F15" s="338"/>
      <c r="G15" s="338"/>
      <c r="H15" s="338"/>
      <c r="I15" s="338"/>
      <c r="J15" s="165"/>
      <c r="K15" s="184" t="s">
        <v>36</v>
      </c>
      <c r="L15" s="160"/>
      <c r="M15" s="32"/>
      <c r="N15" s="24"/>
      <c r="O15" s="25"/>
    </row>
    <row r="16" spans="2:15" ht="15.75" customHeight="1">
      <c r="B16" s="25"/>
      <c r="C16" s="25"/>
      <c r="D16" s="25"/>
      <c r="E16" s="32"/>
      <c r="F16" s="220"/>
      <c r="G16" s="220"/>
      <c r="H16" s="220"/>
      <c r="I16" s="220"/>
      <c r="J16" s="25"/>
      <c r="K16" s="187"/>
      <c r="L16" s="25"/>
      <c r="M16" s="24"/>
      <c r="N16" s="24"/>
      <c r="O16" s="25"/>
    </row>
    <row r="17" spans="2:25" ht="30" customHeight="1">
      <c r="B17" s="160"/>
      <c r="C17" s="160" t="s">
        <v>258</v>
      </c>
      <c r="D17" s="25"/>
      <c r="E17" s="337" t="s">
        <v>320</v>
      </c>
      <c r="F17" s="337"/>
      <c r="G17" s="337"/>
      <c r="H17" s="337"/>
      <c r="I17" s="337"/>
      <c r="J17" s="25"/>
      <c r="K17" s="182" t="s">
        <v>36</v>
      </c>
      <c r="L17" s="160"/>
      <c r="M17" s="32"/>
      <c r="N17" s="24"/>
      <c r="O17" s="25"/>
    </row>
    <row r="18" spans="2:25" ht="15.75" customHeight="1">
      <c r="B18" s="25"/>
      <c r="C18" s="25"/>
      <c r="D18" s="25"/>
      <c r="E18" s="32"/>
      <c r="F18" s="220"/>
      <c r="G18" s="220"/>
      <c r="H18" s="220"/>
      <c r="I18" s="220"/>
      <c r="J18" s="25"/>
      <c r="K18" s="187"/>
      <c r="L18" s="25"/>
      <c r="M18" s="55"/>
      <c r="N18" s="55"/>
      <c r="O18" s="25"/>
    </row>
    <row r="19" spans="2:25" ht="33.75" customHeight="1">
      <c r="B19" s="160"/>
      <c r="C19" s="164" t="s">
        <v>259</v>
      </c>
      <c r="D19" s="165"/>
      <c r="E19" s="338" t="s">
        <v>321</v>
      </c>
      <c r="F19" s="338"/>
      <c r="G19" s="338"/>
      <c r="H19" s="338"/>
      <c r="I19" s="338"/>
      <c r="J19" s="165"/>
      <c r="K19" s="184" t="s">
        <v>36</v>
      </c>
      <c r="L19" s="160"/>
      <c r="M19" s="32"/>
      <c r="N19" s="25"/>
      <c r="O19" s="25"/>
    </row>
    <row r="20" spans="2:25" ht="15.75" customHeight="1">
      <c r="B20" s="25"/>
      <c r="C20" s="25"/>
      <c r="D20" s="25"/>
      <c r="E20" s="166"/>
      <c r="F20" s="166"/>
      <c r="G20" s="166"/>
      <c r="H20" s="223"/>
      <c r="I20" s="220"/>
      <c r="J20" s="25"/>
      <c r="K20" s="187"/>
      <c r="L20" s="25"/>
      <c r="M20" s="24"/>
      <c r="N20" s="24"/>
      <c r="O20" s="25"/>
    </row>
    <row r="21" spans="2:25" ht="30" customHeight="1">
      <c r="B21" s="160"/>
      <c r="C21" s="160" t="s">
        <v>260</v>
      </c>
      <c r="D21" s="25"/>
      <c r="E21" s="337" t="s">
        <v>322</v>
      </c>
      <c r="F21" s="337"/>
      <c r="G21" s="337"/>
      <c r="H21" s="337"/>
      <c r="I21" s="337"/>
      <c r="J21" s="25"/>
      <c r="K21" s="182" t="s">
        <v>36</v>
      </c>
      <c r="L21" s="160"/>
      <c r="M21" s="32"/>
      <c r="N21" s="24"/>
      <c r="O21" s="25"/>
    </row>
    <row r="22" spans="2:25" ht="15.75" customHeight="1">
      <c r="B22" s="25"/>
      <c r="C22" s="25"/>
      <c r="D22" s="25"/>
      <c r="E22" s="24"/>
      <c r="F22" s="25"/>
      <c r="G22" s="25"/>
      <c r="H22" s="25"/>
      <c r="I22" s="25"/>
      <c r="J22" s="25"/>
      <c r="K22" s="159"/>
      <c r="L22" s="25"/>
      <c r="M22" s="24"/>
      <c r="N22" s="24"/>
      <c r="O22" s="25"/>
    </row>
    <row r="23" spans="2:25" ht="15.75" customHeight="1">
      <c r="B23" s="25"/>
      <c r="C23" s="61"/>
      <c r="D23" s="25"/>
      <c r="E23" s="25"/>
      <c r="F23" s="25"/>
      <c r="G23" s="54"/>
      <c r="H23" s="119"/>
      <c r="I23" s="119"/>
      <c r="J23" s="119"/>
      <c r="K23" s="170"/>
      <c r="L23" s="119"/>
      <c r="M23" s="121"/>
      <c r="N23" s="121"/>
      <c r="O23" s="25"/>
      <c r="Q23" s="28"/>
      <c r="R23" s="35"/>
      <c r="S23" s="35"/>
      <c r="T23" s="35"/>
      <c r="U23" s="35"/>
      <c r="V23" s="35"/>
      <c r="W23" s="35"/>
      <c r="X23" s="35"/>
      <c r="Y23" s="35"/>
    </row>
    <row r="24" spans="2:25" ht="60" customHeight="1">
      <c r="B24" s="334"/>
      <c r="C24" s="334"/>
      <c r="D24" s="334"/>
      <c r="E24" s="334"/>
      <c r="F24" s="334"/>
      <c r="G24" s="334"/>
      <c r="H24" s="334"/>
      <c r="I24" s="334"/>
      <c r="J24" s="334"/>
      <c r="K24" s="334"/>
      <c r="L24" s="334"/>
      <c r="M24" s="334"/>
      <c r="N24" s="334"/>
      <c r="O24" s="334"/>
      <c r="Q24" s="28"/>
      <c r="R24" s="35"/>
      <c r="S24" s="35"/>
      <c r="T24" s="35"/>
      <c r="U24" s="35"/>
      <c r="V24" s="35"/>
      <c r="W24" s="35"/>
      <c r="X24" s="35"/>
      <c r="Y24" s="35"/>
    </row>
    <row r="25" spans="2:25" ht="22.5" hidden="1" customHeight="1">
      <c r="B25" s="321"/>
      <c r="C25" s="321"/>
      <c r="D25" s="122"/>
      <c r="E25" s="322"/>
      <c r="F25" s="322"/>
      <c r="G25" s="322"/>
      <c r="H25" s="322"/>
      <c r="I25" s="322"/>
      <c r="J25" s="124"/>
      <c r="K25" s="171"/>
      <c r="L25" s="123"/>
      <c r="M25" s="124"/>
      <c r="N25" s="124"/>
      <c r="O25" s="125"/>
      <c r="Q25" s="28" t="s">
        <v>25</v>
      </c>
      <c r="R25" s="318" t="s">
        <v>27</v>
      </c>
      <c r="S25" s="318"/>
      <c r="T25" s="318"/>
      <c r="U25" s="318"/>
      <c r="V25" s="318"/>
      <c r="W25" s="318"/>
      <c r="X25" s="318"/>
      <c r="Y25" s="318"/>
    </row>
    <row r="26" spans="2:25" ht="87.75" hidden="1" customHeight="1">
      <c r="B26" s="319"/>
      <c r="C26" s="319"/>
      <c r="D26" s="126"/>
      <c r="E26" s="320"/>
      <c r="F26" s="320"/>
      <c r="G26" s="320"/>
      <c r="H26" s="320"/>
      <c r="I26" s="320"/>
      <c r="J26" s="153"/>
      <c r="K26" s="172"/>
      <c r="L26" s="123"/>
      <c r="M26" s="127"/>
      <c r="N26" s="127"/>
      <c r="O26" s="122"/>
      <c r="Q26" s="28"/>
      <c r="R26" s="35"/>
      <c r="S26" s="35"/>
      <c r="T26" s="35"/>
      <c r="U26" s="35"/>
      <c r="V26" s="35"/>
      <c r="W26" s="35"/>
      <c r="X26" s="35"/>
      <c r="Y26" s="35"/>
    </row>
    <row r="27" spans="2:25" ht="87" hidden="1" customHeight="1">
      <c r="B27" s="319"/>
      <c r="C27" s="319"/>
      <c r="D27" s="126"/>
      <c r="E27" s="320"/>
      <c r="F27" s="320"/>
      <c r="G27" s="320"/>
      <c r="H27" s="320"/>
      <c r="I27" s="320"/>
      <c r="J27" s="153"/>
      <c r="K27" s="172"/>
      <c r="L27" s="128"/>
      <c r="M27" s="128"/>
      <c r="N27" s="128"/>
      <c r="O27" s="128"/>
      <c r="Q27" s="28"/>
      <c r="R27" s="35"/>
      <c r="S27" s="35"/>
      <c r="T27" s="35"/>
      <c r="U27" s="35"/>
      <c r="V27" s="35"/>
      <c r="W27" s="35"/>
      <c r="X27" s="35"/>
      <c r="Y27" s="35"/>
    </row>
    <row r="28" spans="2:25" ht="71.25" hidden="1" customHeight="1">
      <c r="B28" s="319"/>
      <c r="C28" s="319"/>
      <c r="D28" s="126"/>
      <c r="E28" s="320"/>
      <c r="F28" s="320"/>
      <c r="G28" s="320"/>
      <c r="H28" s="320"/>
      <c r="I28" s="320"/>
      <c r="J28" s="153"/>
      <c r="K28" s="172"/>
      <c r="L28" s="122"/>
      <c r="M28" s="122"/>
      <c r="N28" s="122"/>
      <c r="O28" s="122"/>
      <c r="Q28" s="31" t="s">
        <v>21</v>
      </c>
      <c r="R28" s="318" t="s">
        <v>28</v>
      </c>
      <c r="S28" s="318"/>
      <c r="T28" s="318"/>
      <c r="U28" s="318"/>
      <c r="V28" s="318"/>
      <c r="W28" s="318"/>
      <c r="X28" s="318"/>
      <c r="Y28" s="318"/>
    </row>
    <row r="29" spans="2:25" ht="86.25" hidden="1" customHeight="1">
      <c r="B29" s="319"/>
      <c r="C29" s="319"/>
      <c r="D29" s="126"/>
      <c r="E29" s="320"/>
      <c r="F29" s="320"/>
      <c r="G29" s="320"/>
      <c r="H29" s="320"/>
      <c r="I29" s="320"/>
      <c r="J29" s="153"/>
      <c r="K29" s="172"/>
      <c r="L29" s="122"/>
      <c r="M29" s="122"/>
      <c r="N29" s="122"/>
      <c r="O29" s="122"/>
      <c r="Q29" s="31" t="s">
        <v>22</v>
      </c>
      <c r="R29" s="318" t="s">
        <v>262</v>
      </c>
      <c r="S29" s="318"/>
      <c r="T29" s="318"/>
      <c r="U29" s="318"/>
      <c r="V29" s="318"/>
      <c r="W29" s="318"/>
      <c r="X29" s="318"/>
      <c r="Y29" s="318"/>
    </row>
    <row r="30" spans="2:25" ht="83.25" hidden="1" customHeight="1">
      <c r="B30" s="319"/>
      <c r="C30" s="319"/>
      <c r="D30" s="126"/>
      <c r="E30" s="320"/>
      <c r="F30" s="320"/>
      <c r="G30" s="320"/>
      <c r="H30" s="320"/>
      <c r="I30" s="320"/>
      <c r="J30" s="153"/>
      <c r="K30" s="172"/>
      <c r="L30" s="122"/>
      <c r="M30" s="129"/>
      <c r="N30" s="129"/>
      <c r="O30" s="122"/>
      <c r="Q30" s="31" t="s">
        <v>23</v>
      </c>
      <c r="R30" s="318" t="s">
        <v>29</v>
      </c>
      <c r="S30" s="318"/>
      <c r="T30" s="318"/>
      <c r="U30" s="318"/>
      <c r="V30" s="318"/>
      <c r="W30" s="318"/>
      <c r="X30" s="318"/>
      <c r="Y30" s="318"/>
    </row>
    <row r="31" spans="2:25" ht="45.75" hidden="1" customHeight="1">
      <c r="B31" s="122"/>
      <c r="C31" s="122"/>
      <c r="D31" s="122"/>
      <c r="E31" s="130"/>
      <c r="F31" s="122"/>
      <c r="G31" s="122"/>
      <c r="H31" s="122"/>
      <c r="I31" s="122"/>
      <c r="J31" s="122"/>
      <c r="K31" s="173"/>
      <c r="L31" s="122"/>
      <c r="M31" s="129"/>
      <c r="N31" s="129"/>
      <c r="O31" s="122"/>
      <c r="Q31" s="31"/>
      <c r="R31" s="35"/>
      <c r="S31" s="35"/>
      <c r="T31" s="35"/>
      <c r="U31" s="35"/>
      <c r="V31" s="35"/>
      <c r="W31" s="35"/>
      <c r="X31" s="35"/>
      <c r="Y31" s="35"/>
    </row>
    <row r="32" spans="2:25" ht="15.75" hidden="1" customHeight="1">
      <c r="B32" s="122"/>
      <c r="C32" s="122"/>
      <c r="D32" s="122"/>
      <c r="E32" s="130"/>
      <c r="F32" s="122"/>
      <c r="G32" s="122"/>
      <c r="H32" s="122"/>
      <c r="I32" s="122"/>
      <c r="J32" s="122"/>
      <c r="K32" s="173"/>
      <c r="L32" s="122"/>
      <c r="M32" s="129"/>
      <c r="N32" s="129"/>
      <c r="O32" s="122"/>
      <c r="Q32" s="31"/>
      <c r="R32" s="35"/>
      <c r="S32" s="35"/>
      <c r="T32" s="35"/>
      <c r="U32" s="35"/>
      <c r="V32" s="35"/>
      <c r="W32" s="35"/>
      <c r="X32" s="35"/>
      <c r="Y32" s="35"/>
    </row>
    <row r="33" spans="2:25" ht="22.5" hidden="1" customHeight="1">
      <c r="B33" s="321"/>
      <c r="C33" s="321"/>
      <c r="D33" s="122"/>
      <c r="E33" s="322"/>
      <c r="F33" s="322"/>
      <c r="G33" s="322"/>
      <c r="H33" s="322"/>
      <c r="I33" s="322"/>
      <c r="J33" s="124"/>
      <c r="K33" s="171"/>
      <c r="L33" s="123"/>
      <c r="M33" s="124"/>
      <c r="N33" s="124"/>
      <c r="O33" s="125"/>
      <c r="Q33" s="28" t="s">
        <v>25</v>
      </c>
      <c r="R33" s="318" t="s">
        <v>27</v>
      </c>
      <c r="S33" s="318"/>
      <c r="T33" s="318"/>
      <c r="U33" s="318"/>
      <c r="V33" s="318"/>
      <c r="W33" s="318"/>
      <c r="X33" s="318"/>
      <c r="Y33" s="318"/>
    </row>
    <row r="34" spans="2:25" ht="87.75" hidden="1" customHeight="1">
      <c r="B34" s="319"/>
      <c r="C34" s="319"/>
      <c r="D34" s="126"/>
      <c r="E34" s="320"/>
      <c r="F34" s="320"/>
      <c r="G34" s="320"/>
      <c r="H34" s="320"/>
      <c r="I34" s="320"/>
      <c r="J34" s="153"/>
      <c r="K34" s="172"/>
      <c r="L34" s="123"/>
      <c r="M34" s="127"/>
      <c r="N34" s="127"/>
      <c r="O34" s="122"/>
      <c r="Q34" s="28"/>
      <c r="R34" s="35"/>
      <c r="S34" s="35"/>
      <c r="T34" s="35"/>
      <c r="U34" s="35"/>
      <c r="V34" s="35"/>
      <c r="W34" s="35"/>
      <c r="X34" s="35"/>
      <c r="Y34" s="35"/>
    </row>
    <row r="35" spans="2:25" ht="87" hidden="1" customHeight="1">
      <c r="B35" s="319"/>
      <c r="C35" s="319"/>
      <c r="D35" s="126"/>
      <c r="E35" s="320"/>
      <c r="F35" s="320"/>
      <c r="G35" s="320"/>
      <c r="H35" s="320"/>
      <c r="I35" s="320"/>
      <c r="J35" s="153"/>
      <c r="K35" s="172"/>
      <c r="L35" s="128"/>
      <c r="M35" s="128"/>
      <c r="N35" s="128"/>
      <c r="O35" s="128"/>
      <c r="Q35" s="28"/>
      <c r="R35" s="35"/>
      <c r="S35" s="35"/>
      <c r="T35" s="35"/>
      <c r="U35" s="35"/>
      <c r="V35" s="35"/>
      <c r="W35" s="35"/>
      <c r="X35" s="35"/>
      <c r="Y35" s="35"/>
    </row>
    <row r="36" spans="2:25" ht="71.25" hidden="1" customHeight="1">
      <c r="B36" s="319"/>
      <c r="C36" s="319"/>
      <c r="D36" s="126"/>
      <c r="E36" s="320"/>
      <c r="F36" s="320"/>
      <c r="G36" s="320"/>
      <c r="H36" s="320"/>
      <c r="I36" s="320"/>
      <c r="J36" s="153"/>
      <c r="K36" s="172"/>
      <c r="L36" s="122"/>
      <c r="M36" s="122"/>
      <c r="N36" s="122"/>
      <c r="O36" s="122"/>
      <c r="Q36" s="31" t="s">
        <v>21</v>
      </c>
      <c r="R36" s="318" t="s">
        <v>28</v>
      </c>
      <c r="S36" s="318"/>
      <c r="T36" s="318"/>
      <c r="U36" s="318"/>
      <c r="V36" s="318"/>
      <c r="W36" s="318"/>
      <c r="X36" s="318"/>
      <c r="Y36" s="318"/>
    </row>
    <row r="37" spans="2:25" ht="86.25" hidden="1" customHeight="1">
      <c r="B37" s="319"/>
      <c r="C37" s="319"/>
      <c r="D37" s="126"/>
      <c r="E37" s="320"/>
      <c r="F37" s="320"/>
      <c r="G37" s="320"/>
      <c r="H37" s="320"/>
      <c r="I37" s="320"/>
      <c r="J37" s="153"/>
      <c r="K37" s="172"/>
      <c r="L37" s="122"/>
      <c r="M37" s="122"/>
      <c r="N37" s="122"/>
      <c r="O37" s="122"/>
      <c r="Q37" s="31" t="s">
        <v>22</v>
      </c>
      <c r="R37" s="318" t="s">
        <v>262</v>
      </c>
      <c r="S37" s="318"/>
      <c r="T37" s="318"/>
      <c r="U37" s="318"/>
      <c r="V37" s="318"/>
      <c r="W37" s="318"/>
      <c r="X37" s="318"/>
      <c r="Y37" s="318"/>
    </row>
    <row r="38" spans="2:25" ht="83.25" hidden="1" customHeight="1">
      <c r="B38" s="319"/>
      <c r="C38" s="319"/>
      <c r="D38" s="126"/>
      <c r="E38" s="320"/>
      <c r="F38" s="320"/>
      <c r="G38" s="320"/>
      <c r="H38" s="320"/>
      <c r="I38" s="320"/>
      <c r="J38" s="153"/>
      <c r="K38" s="172"/>
      <c r="L38" s="122"/>
      <c r="M38" s="129"/>
      <c r="N38" s="129"/>
      <c r="O38" s="122"/>
      <c r="Q38" s="31" t="s">
        <v>23</v>
      </c>
      <c r="R38" s="318" t="s">
        <v>29</v>
      </c>
      <c r="S38" s="318"/>
      <c r="T38" s="318"/>
      <c r="U38" s="318"/>
      <c r="V38" s="318"/>
      <c r="W38" s="318"/>
      <c r="X38" s="318"/>
      <c r="Y38" s="318"/>
    </row>
    <row r="39" spans="2:25" ht="15.75" hidden="1" customHeight="1">
      <c r="B39" s="122"/>
      <c r="C39" s="122"/>
      <c r="D39" s="122"/>
      <c r="E39" s="130"/>
      <c r="F39" s="122"/>
      <c r="G39" s="122"/>
      <c r="H39" s="122"/>
      <c r="I39" s="122"/>
      <c r="J39" s="122"/>
      <c r="K39" s="173"/>
      <c r="L39" s="122"/>
      <c r="M39" s="122"/>
      <c r="N39" s="122"/>
      <c r="O39" s="122"/>
      <c r="Q39" s="31"/>
      <c r="R39" s="35"/>
      <c r="S39" s="35"/>
      <c r="T39" s="35"/>
      <c r="U39" s="35"/>
      <c r="V39" s="35"/>
      <c r="W39" s="35"/>
      <c r="X39" s="35"/>
      <c r="Y39" s="35"/>
    </row>
    <row r="40" spans="2:25" ht="15.75" hidden="1" customHeight="1">
      <c r="B40" s="122"/>
      <c r="C40" s="122"/>
      <c r="D40" s="122"/>
      <c r="E40" s="122"/>
      <c r="F40" s="122"/>
      <c r="G40" s="122"/>
      <c r="H40" s="122"/>
      <c r="I40" s="122"/>
      <c r="J40" s="122"/>
      <c r="K40" s="173"/>
      <c r="L40" s="122"/>
      <c r="M40" s="122"/>
      <c r="N40" s="122"/>
      <c r="O40" s="122"/>
      <c r="Q40" s="31"/>
      <c r="R40" s="35"/>
      <c r="S40" s="35"/>
      <c r="T40" s="35"/>
      <c r="U40" s="35"/>
      <c r="V40" s="35"/>
      <c r="W40" s="35"/>
      <c r="X40" s="35"/>
      <c r="Y40" s="35"/>
    </row>
    <row r="41" spans="2:25" ht="15.75" hidden="1" customHeight="1">
      <c r="B41" s="131"/>
      <c r="C41" s="131"/>
      <c r="D41" s="122"/>
      <c r="E41" s="130"/>
      <c r="F41" s="122"/>
      <c r="G41" s="122"/>
      <c r="H41" s="122"/>
      <c r="I41" s="122"/>
      <c r="J41" s="122"/>
      <c r="K41" s="173"/>
      <c r="L41" s="122"/>
      <c r="M41" s="122"/>
      <c r="N41" s="122"/>
      <c r="O41" s="122"/>
      <c r="Q41" s="31"/>
      <c r="R41" s="35"/>
      <c r="S41" s="35"/>
      <c r="T41" s="35"/>
      <c r="U41" s="35"/>
      <c r="V41" s="35"/>
      <c r="W41" s="35"/>
      <c r="X41" s="35"/>
      <c r="Y41" s="35"/>
    </row>
    <row r="42" spans="2:25" ht="15.75" hidden="1" customHeight="1">
      <c r="B42" s="131"/>
      <c r="C42" s="131"/>
      <c r="D42" s="122"/>
      <c r="E42" s="130"/>
      <c r="F42" s="122"/>
      <c r="G42" s="122"/>
      <c r="H42" s="122"/>
      <c r="I42" s="122"/>
      <c r="J42" s="122"/>
      <c r="K42" s="173"/>
      <c r="L42" s="122"/>
      <c r="M42" s="129"/>
      <c r="N42" s="129"/>
      <c r="O42" s="122"/>
      <c r="Q42" s="31"/>
      <c r="R42" s="35"/>
      <c r="S42" s="35"/>
      <c r="T42" s="35"/>
      <c r="U42" s="35"/>
      <c r="V42" s="35"/>
      <c r="W42" s="35"/>
      <c r="X42" s="35"/>
      <c r="Y42" s="35"/>
    </row>
    <row r="43" spans="2:25" ht="15.75" hidden="1" customHeight="1">
      <c r="B43" s="122"/>
      <c r="C43" s="132"/>
      <c r="D43" s="122"/>
      <c r="E43" s="130"/>
      <c r="F43" s="122"/>
      <c r="G43" s="122"/>
      <c r="H43" s="122"/>
      <c r="I43" s="122"/>
      <c r="J43" s="122"/>
      <c r="K43" s="173"/>
      <c r="L43" s="122"/>
      <c r="M43" s="129"/>
      <c r="N43" s="129"/>
      <c r="O43" s="122"/>
      <c r="Q43" s="31"/>
      <c r="R43" s="35"/>
      <c r="S43" s="35"/>
      <c r="T43" s="35"/>
      <c r="U43" s="35"/>
      <c r="V43" s="35"/>
      <c r="W43" s="35"/>
      <c r="X43" s="35"/>
      <c r="Y43" s="35"/>
    </row>
    <row r="44" spans="2:25" ht="48.75" hidden="1" customHeight="1">
      <c r="B44" s="122"/>
      <c r="C44" s="122"/>
      <c r="D44" s="122"/>
      <c r="E44" s="130"/>
      <c r="F44" s="122"/>
      <c r="G44" s="122"/>
      <c r="H44" s="122"/>
      <c r="I44" s="122"/>
      <c r="J44" s="122"/>
      <c r="K44" s="173"/>
      <c r="L44" s="122"/>
      <c r="M44" s="129"/>
      <c r="N44" s="129"/>
      <c r="O44" s="122"/>
      <c r="Q44" s="31"/>
      <c r="R44" s="35"/>
      <c r="S44" s="35"/>
      <c r="T44" s="35"/>
      <c r="U44" s="35"/>
      <c r="V44" s="35"/>
      <c r="W44" s="35"/>
      <c r="X44" s="35"/>
      <c r="Y44" s="35"/>
    </row>
    <row r="45" spans="2:25" ht="15" hidden="1" customHeight="1">
      <c r="B45" s="122"/>
      <c r="C45" s="122"/>
      <c r="D45" s="122"/>
      <c r="E45" s="130"/>
      <c r="F45" s="122"/>
      <c r="G45" s="122"/>
      <c r="H45" s="122"/>
      <c r="I45" s="122"/>
      <c r="J45" s="122"/>
      <c r="K45" s="173"/>
      <c r="L45" s="122"/>
      <c r="M45" s="122"/>
      <c r="N45" s="122"/>
      <c r="O45" s="122"/>
      <c r="Q45" s="31"/>
      <c r="R45" s="35"/>
      <c r="S45" s="35"/>
      <c r="T45" s="35"/>
      <c r="U45" s="35"/>
      <c r="V45" s="35"/>
      <c r="W45" s="35"/>
      <c r="X45" s="35"/>
      <c r="Y45" s="35"/>
    </row>
    <row r="46" spans="2:25" ht="30" hidden="1" customHeight="1">
      <c r="B46" s="122"/>
      <c r="C46" s="122"/>
      <c r="D46" s="122"/>
      <c r="E46" s="122"/>
      <c r="F46" s="122"/>
      <c r="G46" s="122"/>
      <c r="H46" s="122"/>
      <c r="I46" s="122"/>
      <c r="J46" s="122"/>
      <c r="K46" s="173"/>
      <c r="L46" s="122"/>
      <c r="M46" s="122"/>
      <c r="N46" s="122"/>
      <c r="O46" s="122"/>
      <c r="Q46" s="31"/>
      <c r="R46" s="35"/>
      <c r="S46" s="35"/>
      <c r="T46" s="35"/>
      <c r="U46" s="35"/>
      <c r="V46" s="35"/>
      <c r="W46" s="35"/>
      <c r="X46" s="35"/>
      <c r="Y46" s="35"/>
    </row>
    <row r="47" spans="2:25" ht="60" hidden="1" customHeight="1">
      <c r="B47" s="128"/>
      <c r="C47" s="128"/>
      <c r="D47" s="128"/>
      <c r="E47" s="128"/>
      <c r="F47" s="128"/>
      <c r="G47" s="128"/>
      <c r="H47" s="128"/>
      <c r="I47" s="128"/>
      <c r="J47" s="128"/>
      <c r="K47" s="174"/>
      <c r="L47" s="128"/>
      <c r="M47" s="128"/>
      <c r="N47" s="128"/>
      <c r="O47" s="128"/>
      <c r="Q47" s="31"/>
      <c r="R47" s="35"/>
      <c r="S47" s="35"/>
      <c r="T47" s="35"/>
      <c r="U47" s="35"/>
      <c r="V47" s="35"/>
      <c r="W47" s="35"/>
      <c r="X47" s="35"/>
      <c r="Y47" s="35"/>
    </row>
    <row r="48" spans="2:25" ht="15" hidden="1" customHeight="1">
      <c r="B48" s="133"/>
      <c r="C48" s="133"/>
      <c r="D48" s="133"/>
      <c r="E48" s="133"/>
      <c r="F48" s="133"/>
      <c r="G48" s="133"/>
      <c r="H48" s="133"/>
      <c r="I48" s="133"/>
      <c r="J48" s="133"/>
      <c r="K48" s="175"/>
      <c r="L48" s="133"/>
      <c r="M48" s="133"/>
      <c r="N48" s="133"/>
      <c r="O48" s="133"/>
      <c r="Q48" s="31"/>
      <c r="R48" s="35"/>
      <c r="S48" s="35"/>
      <c r="T48" s="35"/>
      <c r="U48" s="35"/>
      <c r="V48" s="35"/>
      <c r="W48" s="35"/>
      <c r="X48" s="35"/>
      <c r="Y48" s="35"/>
    </row>
    <row r="49" spans="2:25" ht="30" hidden="1" customHeight="1">
      <c r="B49" s="134"/>
      <c r="C49" s="134"/>
      <c r="D49" s="133"/>
      <c r="E49" s="135"/>
      <c r="F49" s="133"/>
      <c r="G49" s="133"/>
      <c r="H49" s="133"/>
      <c r="I49" s="133"/>
      <c r="J49" s="133"/>
      <c r="K49" s="175"/>
      <c r="L49" s="133"/>
      <c r="M49" s="136"/>
      <c r="N49" s="136"/>
      <c r="O49" s="133"/>
      <c r="Q49" s="31"/>
      <c r="R49" s="35"/>
      <c r="S49" s="35"/>
      <c r="T49" s="35"/>
      <c r="U49" s="35"/>
      <c r="V49" s="35"/>
      <c r="W49" s="35"/>
      <c r="X49" s="35"/>
      <c r="Y49" s="35"/>
    </row>
    <row r="50" spans="2:25" ht="15" hidden="1" customHeight="1">
      <c r="B50" s="133"/>
      <c r="C50" s="133"/>
      <c r="D50" s="133"/>
      <c r="E50" s="133"/>
      <c r="F50" s="133"/>
      <c r="G50" s="133"/>
      <c r="H50" s="133"/>
      <c r="I50" s="133"/>
      <c r="J50" s="133"/>
      <c r="K50" s="175"/>
      <c r="L50" s="133"/>
      <c r="M50" s="133"/>
      <c r="N50" s="133"/>
      <c r="O50" s="133"/>
      <c r="Q50" s="31"/>
      <c r="R50" s="35"/>
      <c r="S50" s="35"/>
      <c r="T50" s="35"/>
      <c r="U50" s="35"/>
      <c r="V50" s="35"/>
      <c r="W50" s="35"/>
      <c r="X50" s="35"/>
      <c r="Y50" s="35"/>
    </row>
    <row r="51" spans="2:25" ht="30" hidden="1" customHeight="1">
      <c r="B51" s="134"/>
      <c r="C51" s="134"/>
      <c r="D51" s="133"/>
      <c r="E51" s="135"/>
      <c r="F51" s="133"/>
      <c r="G51" s="133"/>
      <c r="H51" s="133"/>
      <c r="I51" s="133"/>
      <c r="J51" s="133"/>
      <c r="K51" s="175"/>
      <c r="L51" s="133"/>
      <c r="M51" s="136"/>
      <c r="N51" s="136"/>
      <c r="O51" s="133"/>
      <c r="Q51" s="31"/>
      <c r="R51" s="35"/>
      <c r="S51" s="35"/>
      <c r="T51" s="35"/>
      <c r="U51" s="35"/>
      <c r="V51" s="35"/>
      <c r="W51" s="35"/>
      <c r="X51" s="35"/>
      <c r="Y51" s="35"/>
    </row>
    <row r="52" spans="2:25" ht="15" hidden="1" customHeight="1">
      <c r="B52" s="133"/>
      <c r="C52" s="133"/>
      <c r="D52" s="133"/>
      <c r="E52" s="133"/>
      <c r="F52" s="133"/>
      <c r="G52" s="133"/>
      <c r="H52" s="133"/>
      <c r="I52" s="133"/>
      <c r="J52" s="133"/>
      <c r="K52" s="175"/>
      <c r="L52" s="133"/>
      <c r="M52" s="133"/>
      <c r="N52" s="133"/>
      <c r="O52" s="133"/>
      <c r="Q52" s="31"/>
      <c r="R52" s="35"/>
      <c r="S52" s="35"/>
      <c r="T52" s="35"/>
      <c r="U52" s="35"/>
      <c r="V52" s="35"/>
      <c r="W52" s="35"/>
      <c r="X52" s="35"/>
      <c r="Y52" s="35"/>
    </row>
    <row r="53" spans="2:25" ht="30" hidden="1" customHeight="1">
      <c r="B53" s="134"/>
      <c r="C53" s="134"/>
      <c r="D53" s="133"/>
      <c r="E53" s="135"/>
      <c r="F53" s="133"/>
      <c r="G53" s="133"/>
      <c r="H53" s="133"/>
      <c r="I53" s="133"/>
      <c r="J53" s="133"/>
      <c r="K53" s="175"/>
      <c r="L53" s="133"/>
      <c r="M53" s="136"/>
      <c r="N53" s="136"/>
      <c r="O53" s="133"/>
      <c r="Q53" s="31"/>
      <c r="R53" s="35"/>
      <c r="S53" s="35"/>
      <c r="T53" s="35"/>
      <c r="U53" s="35"/>
      <c r="V53" s="35"/>
      <c r="W53" s="35"/>
      <c r="X53" s="35"/>
      <c r="Y53" s="35"/>
    </row>
    <row r="54" spans="2:25" ht="15" hidden="1" customHeight="1">
      <c r="B54" s="133"/>
      <c r="C54" s="133"/>
      <c r="D54" s="133"/>
      <c r="E54" s="133"/>
      <c r="F54" s="133"/>
      <c r="G54" s="133"/>
      <c r="H54" s="133"/>
      <c r="I54" s="133"/>
      <c r="J54" s="133"/>
      <c r="K54" s="175"/>
      <c r="L54" s="133"/>
      <c r="M54" s="133"/>
      <c r="N54" s="133"/>
      <c r="O54" s="133"/>
      <c r="Q54" s="31"/>
      <c r="R54" s="35"/>
      <c r="S54" s="35"/>
      <c r="T54" s="35"/>
      <c r="U54" s="35"/>
      <c r="V54" s="35"/>
      <c r="W54" s="35"/>
      <c r="X54" s="35"/>
      <c r="Y54" s="35"/>
    </row>
    <row r="55" spans="2:25" ht="15" hidden="1" customHeight="1">
      <c r="B55" s="133"/>
      <c r="C55" s="133"/>
      <c r="D55" s="133"/>
      <c r="E55" s="133"/>
      <c r="F55" s="133"/>
      <c r="G55" s="133"/>
      <c r="H55" s="133"/>
      <c r="I55" s="133"/>
      <c r="J55" s="133"/>
      <c r="K55" s="175"/>
      <c r="L55" s="133"/>
      <c r="M55" s="133"/>
      <c r="N55" s="133"/>
      <c r="O55" s="133"/>
      <c r="Q55" s="31"/>
      <c r="R55" s="35"/>
      <c r="S55" s="35"/>
      <c r="T55" s="35"/>
      <c r="U55" s="35"/>
      <c r="V55" s="35"/>
      <c r="W55" s="35"/>
      <c r="X55" s="35"/>
      <c r="Y55" s="35"/>
    </row>
    <row r="56" spans="2:25" ht="15" hidden="1" customHeight="1">
      <c r="B56" s="133"/>
      <c r="C56" s="133"/>
      <c r="D56" s="133"/>
      <c r="E56" s="133"/>
      <c r="F56" s="133"/>
      <c r="G56" s="133"/>
      <c r="H56" s="133"/>
      <c r="I56" s="133"/>
      <c r="J56" s="133"/>
      <c r="K56" s="175"/>
      <c r="L56" s="133"/>
      <c r="M56" s="133"/>
      <c r="N56" s="133"/>
      <c r="O56" s="133"/>
      <c r="Q56" s="31"/>
      <c r="R56" s="35"/>
      <c r="S56" s="35"/>
      <c r="T56" s="35"/>
      <c r="U56" s="35"/>
      <c r="V56" s="35"/>
      <c r="W56" s="35"/>
      <c r="X56" s="35"/>
      <c r="Y56" s="35"/>
    </row>
    <row r="57" spans="2:25" ht="15" hidden="1" customHeight="1">
      <c r="B57" s="133"/>
      <c r="C57" s="133"/>
      <c r="D57" s="133"/>
      <c r="E57" s="133"/>
      <c r="F57" s="133"/>
      <c r="G57" s="133"/>
      <c r="H57" s="133"/>
      <c r="I57" s="133"/>
      <c r="J57" s="133"/>
      <c r="K57" s="175"/>
      <c r="L57" s="133"/>
      <c r="M57" s="133"/>
      <c r="N57" s="133"/>
      <c r="O57" s="133"/>
      <c r="Q57" s="31"/>
      <c r="R57" s="35"/>
      <c r="S57" s="35"/>
      <c r="T57" s="35"/>
      <c r="U57" s="35"/>
      <c r="V57" s="35"/>
      <c r="W57" s="35"/>
      <c r="X57" s="35"/>
      <c r="Y57" s="35"/>
    </row>
    <row r="58" spans="2:25" ht="15" hidden="1" customHeight="1">
      <c r="B58" s="133"/>
      <c r="C58" s="133"/>
      <c r="D58" s="133"/>
      <c r="E58" s="133"/>
      <c r="F58" s="133"/>
      <c r="G58" s="133"/>
      <c r="H58" s="133"/>
      <c r="I58" s="133"/>
      <c r="J58" s="133"/>
      <c r="K58" s="175"/>
      <c r="L58" s="133"/>
      <c r="M58" s="133"/>
      <c r="N58" s="133"/>
      <c r="O58" s="133"/>
      <c r="Q58" s="31"/>
      <c r="R58" s="35"/>
      <c r="S58" s="35"/>
      <c r="T58" s="35"/>
      <c r="U58" s="35"/>
      <c r="V58" s="35"/>
      <c r="W58" s="35"/>
      <c r="X58" s="35"/>
      <c r="Y58" s="35"/>
    </row>
    <row r="59" spans="2:25" ht="15" hidden="1" customHeight="1">
      <c r="B59" s="133"/>
      <c r="C59" s="133"/>
      <c r="D59" s="133"/>
      <c r="E59" s="133"/>
      <c r="F59" s="133"/>
      <c r="G59" s="133"/>
      <c r="H59" s="133"/>
      <c r="I59" s="133"/>
      <c r="J59" s="133"/>
      <c r="K59" s="175"/>
      <c r="L59" s="133"/>
      <c r="M59" s="133"/>
      <c r="N59" s="133"/>
      <c r="O59" s="133"/>
      <c r="Q59" s="31"/>
      <c r="R59" s="35"/>
      <c r="S59" s="35"/>
      <c r="T59" s="35"/>
      <c r="U59" s="35"/>
      <c r="V59" s="35"/>
      <c r="W59" s="35"/>
      <c r="X59" s="35"/>
      <c r="Y59" s="35"/>
    </row>
    <row r="60" spans="2:25" ht="15" hidden="1" customHeight="1">
      <c r="B60" s="133"/>
      <c r="C60" s="133"/>
      <c r="D60" s="133"/>
      <c r="E60" s="133"/>
      <c r="F60" s="133"/>
      <c r="G60" s="133"/>
      <c r="H60" s="133"/>
      <c r="I60" s="133"/>
      <c r="J60" s="133"/>
      <c r="K60" s="175"/>
      <c r="L60" s="133"/>
      <c r="M60" s="133"/>
      <c r="N60" s="133"/>
      <c r="O60" s="133"/>
      <c r="Q60" s="31"/>
      <c r="R60" s="35"/>
      <c r="S60" s="35"/>
      <c r="T60" s="35"/>
      <c r="U60" s="35"/>
      <c r="V60" s="35"/>
      <c r="W60" s="35"/>
      <c r="X60" s="35"/>
      <c r="Y60" s="35"/>
    </row>
    <row r="61" spans="2:25" ht="15" hidden="1" customHeight="1">
      <c r="B61" s="133"/>
      <c r="C61" s="133"/>
      <c r="D61" s="133"/>
      <c r="E61" s="133"/>
      <c r="F61" s="133"/>
      <c r="G61" s="133"/>
      <c r="H61" s="133"/>
      <c r="I61" s="133"/>
      <c r="J61" s="133"/>
      <c r="K61" s="175"/>
      <c r="L61" s="133"/>
      <c r="M61" s="133"/>
      <c r="N61" s="133"/>
      <c r="O61" s="133"/>
      <c r="Q61" s="31"/>
      <c r="R61" s="35"/>
      <c r="S61" s="35"/>
      <c r="T61" s="35"/>
      <c r="U61" s="35"/>
      <c r="V61" s="35"/>
      <c r="W61" s="35"/>
      <c r="X61" s="35"/>
      <c r="Y61" s="35"/>
    </row>
    <row r="62" spans="2:25" ht="15.5" hidden="1">
      <c r="B62" s="133"/>
      <c r="C62" s="133"/>
      <c r="D62" s="133"/>
      <c r="E62" s="133"/>
      <c r="F62" s="133"/>
      <c r="G62" s="133"/>
      <c r="H62" s="133"/>
      <c r="I62" s="133"/>
      <c r="J62" s="133"/>
      <c r="K62" s="175"/>
      <c r="L62" s="133"/>
      <c r="M62" s="133"/>
      <c r="N62" s="133"/>
      <c r="O62" s="133"/>
    </row>
    <row r="63" spans="2:25" ht="15.5" hidden="1">
      <c r="B63" s="21"/>
      <c r="C63" s="21"/>
      <c r="D63" s="21"/>
      <c r="E63" s="21"/>
      <c r="F63" s="21"/>
      <c r="G63" s="21"/>
      <c r="H63" s="21"/>
      <c r="I63" s="21"/>
      <c r="J63" s="21"/>
      <c r="K63" s="176"/>
      <c r="L63" s="21"/>
      <c r="M63" s="21"/>
      <c r="N63" s="21"/>
      <c r="O63" s="21"/>
    </row>
  </sheetData>
  <sheetProtection sheet="1" objects="1" scenarios="1" selectLockedCells="1"/>
  <mergeCells count="40">
    <mergeCell ref="E9:I9"/>
    <mergeCell ref="E11:I11"/>
    <mergeCell ref="E13:I13"/>
    <mergeCell ref="E15:I15"/>
    <mergeCell ref="E17:I17"/>
    <mergeCell ref="E19:I19"/>
    <mergeCell ref="R36:Y36"/>
    <mergeCell ref="B37:C37"/>
    <mergeCell ref="E37:I37"/>
    <mergeCell ref="R37:Y37"/>
    <mergeCell ref="B30:C30"/>
    <mergeCell ref="E30:I30"/>
    <mergeCell ref="R30:Y30"/>
    <mergeCell ref="B33:C33"/>
    <mergeCell ref="E33:I33"/>
    <mergeCell ref="R33:Y33"/>
    <mergeCell ref="B27:C27"/>
    <mergeCell ref="E27:I27"/>
    <mergeCell ref="B28:C28"/>
    <mergeCell ref="E28:I28"/>
    <mergeCell ref="R28:Y28"/>
    <mergeCell ref="B38:C38"/>
    <mergeCell ref="E38:I38"/>
    <mergeCell ref="R38:Y38"/>
    <mergeCell ref="B34:C34"/>
    <mergeCell ref="E34:I34"/>
    <mergeCell ref="B35:C35"/>
    <mergeCell ref="E35:I35"/>
    <mergeCell ref="B36:C36"/>
    <mergeCell ref="E36:I36"/>
    <mergeCell ref="E21:I21"/>
    <mergeCell ref="B29:C29"/>
    <mergeCell ref="E29:I29"/>
    <mergeCell ref="R29:Y29"/>
    <mergeCell ref="B24:O24"/>
    <mergeCell ref="B25:C25"/>
    <mergeCell ref="E25:I25"/>
    <mergeCell ref="R25:Y25"/>
    <mergeCell ref="B26:C26"/>
    <mergeCell ref="E26:I26"/>
  </mergeCells>
  <hyperlinks>
    <hyperlink ref="K9" r:id="rId1" xr:uid="{9F363BA3-9575-44C5-8DE3-A5B2357706C8}"/>
    <hyperlink ref="K11" r:id="rId2" location="/" xr:uid="{DA55589A-BF8D-4417-A454-F8F15F4AEB84}"/>
    <hyperlink ref="K13" r:id="rId3" xr:uid="{CD46594D-82BA-4D64-AFBA-410EC2A62909}"/>
    <hyperlink ref="K15" r:id="rId4" xr:uid="{41ECA619-7CD7-4C16-8ABE-946BE3437E5A}"/>
    <hyperlink ref="K17" r:id="rId5" xr:uid="{2A2DE36D-2284-4B72-AB30-FC54DFE8599A}"/>
    <hyperlink ref="K19" r:id="rId6" xr:uid="{68267F66-9976-4018-B1B9-72735BB73E40}"/>
    <hyperlink ref="K21" r:id="rId7" xr:uid="{94202639-E741-46C1-94E3-15227E4D68B4}"/>
  </hyperlinks>
  <pageMargins left="0.7" right="0.7" top="0.75" bottom="0.75" header="0.3" footer="0.3"/>
  <pageSetup orientation="portrait" r:id="rId8"/>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8793-AAF3-4825-8EFD-677A7D6D0036}">
  <sheetPr>
    <tabColor theme="0" tint="-0.499984740745262"/>
  </sheetPr>
  <dimension ref="A1:Y75"/>
  <sheetViews>
    <sheetView showGridLines="0" showRowColHeaders="0" zoomScale="80" zoomScaleNormal="80" workbookViewId="0">
      <pane ySplit="7" topLeftCell="A8" activePane="bottomLeft" state="frozen"/>
      <selection pane="bottomLeft" activeCell="E11" sqref="E11"/>
    </sheetView>
  </sheetViews>
  <sheetFormatPr baseColWidth="10" defaultColWidth="0" defaultRowHeight="12.75" customHeight="1" zeroHeight="1"/>
  <cols>
    <col min="1" max="1" width="5.81640625" style="18" customWidth="1"/>
    <col min="2" max="2" width="13" style="18" customWidth="1"/>
    <col min="3" max="3" width="19.453125" style="18" customWidth="1"/>
    <col min="4" max="4" width="2.81640625" style="18" customWidth="1"/>
    <col min="5" max="5" width="29.453125" style="18" customWidth="1"/>
    <col min="6" max="6" width="3.453125" style="18" customWidth="1"/>
    <col min="7" max="7" width="13" style="18" customWidth="1"/>
    <col min="8" max="8" width="2.81640625" style="18" customWidth="1"/>
    <col min="9" max="9" width="29.453125" style="18" customWidth="1"/>
    <col min="10" max="10" width="3.453125" style="18" customWidth="1"/>
    <col min="11" max="11" width="13" style="157" customWidth="1"/>
    <col min="12" max="12" width="2.81640625" style="18" customWidth="1"/>
    <col min="13" max="13" width="29.453125" style="18" customWidth="1"/>
    <col min="14" max="14" width="28.54296875" style="18" customWidth="1"/>
    <col min="15" max="18" width="9.1796875" style="18" customWidth="1"/>
    <col min="19" max="19" width="2.1796875" style="18" customWidth="1"/>
    <col min="20" max="22" width="0" style="18" hidden="1" customWidth="1"/>
    <col min="23" max="16384" width="9.1796875" style="18" hidden="1"/>
  </cols>
  <sheetData>
    <row r="1" spans="2:15" ht="48" customHeight="1"/>
    <row r="2" spans="2:15" ht="15.5">
      <c r="B2" s="19"/>
      <c r="C2" s="19"/>
      <c r="D2" s="19"/>
      <c r="E2" s="19"/>
      <c r="F2" s="19"/>
      <c r="G2" s="19"/>
      <c r="H2" s="19"/>
      <c r="I2" s="19"/>
      <c r="J2" s="19"/>
      <c r="K2" s="158"/>
      <c r="L2" s="19"/>
      <c r="M2" s="19"/>
      <c r="N2" s="19"/>
      <c r="O2" s="19"/>
    </row>
    <row r="3" spans="2:15" ht="15.5">
      <c r="B3" s="19"/>
      <c r="C3" s="19"/>
      <c r="D3" s="19"/>
      <c r="E3" s="19"/>
      <c r="F3" s="19"/>
      <c r="G3" s="19"/>
      <c r="H3" s="19"/>
      <c r="I3" s="19"/>
      <c r="J3" s="19"/>
      <c r="K3" s="158"/>
      <c r="L3" s="19"/>
      <c r="M3" s="19"/>
      <c r="N3" s="19"/>
      <c r="O3" s="19"/>
    </row>
    <row r="4" spans="2:15" ht="15.5">
      <c r="B4" s="19"/>
      <c r="C4" s="19"/>
      <c r="D4" s="19"/>
      <c r="E4" s="19"/>
      <c r="F4" s="19"/>
      <c r="G4" s="19"/>
      <c r="H4" s="19"/>
      <c r="I4" s="19"/>
      <c r="J4" s="19"/>
      <c r="K4" s="158"/>
      <c r="L4" s="19"/>
      <c r="M4" s="19"/>
      <c r="N4" s="19"/>
      <c r="O4" s="19"/>
    </row>
    <row r="5" spans="2:15" ht="15.5">
      <c r="B5" s="19"/>
      <c r="C5" s="19"/>
      <c r="D5" s="19"/>
      <c r="E5" s="19"/>
      <c r="F5" s="19"/>
      <c r="G5" s="19"/>
      <c r="H5" s="19"/>
      <c r="I5" s="19"/>
      <c r="J5" s="19"/>
      <c r="K5" s="158"/>
      <c r="L5" s="19"/>
      <c r="M5" s="19"/>
      <c r="N5" s="19"/>
      <c r="O5" s="19"/>
    </row>
    <row r="6" spans="2:15" ht="15.5">
      <c r="B6" s="19"/>
      <c r="C6" s="19"/>
      <c r="D6" s="19"/>
      <c r="E6" s="19"/>
      <c r="F6" s="19"/>
      <c r="G6" s="19"/>
      <c r="H6" s="19"/>
      <c r="I6" s="19"/>
      <c r="J6" s="19"/>
      <c r="K6" s="158"/>
      <c r="L6" s="19"/>
      <c r="M6" s="19"/>
      <c r="N6" s="19"/>
      <c r="O6" s="19"/>
    </row>
    <row r="7" spans="2:15" ht="15.5">
      <c r="B7" s="19"/>
      <c r="C7" s="19"/>
      <c r="D7" s="19"/>
      <c r="E7" s="19"/>
      <c r="F7" s="19"/>
      <c r="G7" s="19"/>
      <c r="H7" s="19"/>
      <c r="I7" s="19"/>
      <c r="J7" s="19"/>
      <c r="K7" s="158"/>
      <c r="L7" s="19"/>
      <c r="M7" s="19"/>
      <c r="N7" s="19"/>
      <c r="O7" s="19"/>
    </row>
    <row r="8" spans="2:15" ht="15.5">
      <c r="B8" s="25"/>
      <c r="C8" s="25"/>
      <c r="D8" s="25"/>
      <c r="E8" s="25"/>
      <c r="F8" s="25"/>
      <c r="G8" s="25"/>
      <c r="H8" s="25"/>
      <c r="I8" s="25"/>
      <c r="J8" s="25"/>
      <c r="K8" s="159"/>
      <c r="L8" s="25"/>
      <c r="M8" s="25"/>
      <c r="N8" s="25"/>
      <c r="O8" s="25"/>
    </row>
    <row r="9" spans="2:15" ht="4.5" customHeight="1">
      <c r="B9" s="160"/>
      <c r="C9" s="160"/>
      <c r="D9" s="25"/>
      <c r="E9" s="337"/>
      <c r="F9" s="337"/>
      <c r="G9" s="337"/>
      <c r="H9" s="337"/>
      <c r="I9" s="337"/>
      <c r="J9" s="25"/>
      <c r="K9" s="161"/>
      <c r="L9" s="160"/>
      <c r="M9" s="32"/>
      <c r="N9" s="25"/>
      <c r="O9" s="25"/>
    </row>
    <row r="10" spans="2:15" ht="6.75" customHeight="1">
      <c r="B10" s="25"/>
      <c r="C10" s="25"/>
      <c r="D10" s="25"/>
      <c r="E10" s="55"/>
      <c r="F10" s="25"/>
      <c r="G10" s="55"/>
      <c r="H10" s="55"/>
      <c r="I10" s="48"/>
      <c r="J10" s="48"/>
      <c r="K10" s="162"/>
      <c r="L10" s="163"/>
      <c r="M10" s="24"/>
      <c r="N10" s="24"/>
      <c r="O10" s="25"/>
    </row>
    <row r="11" spans="2:15" ht="30" customHeight="1">
      <c r="B11" s="339" t="s">
        <v>325</v>
      </c>
      <c r="C11" s="339"/>
      <c r="D11" s="25"/>
      <c r="E11" s="73"/>
      <c r="F11" s="177"/>
      <c r="G11" s="177"/>
      <c r="H11" s="177"/>
      <c r="I11" s="340" t="s">
        <v>229</v>
      </c>
      <c r="J11" s="340"/>
      <c r="K11" s="342">
        <f>'3-Costs'!I64+'3-Costs'!I72</f>
        <v>143750</v>
      </c>
      <c r="L11" s="342"/>
      <c r="M11" s="342"/>
      <c r="N11" s="24"/>
      <c r="O11" s="25"/>
    </row>
    <row r="12" spans="2:15" ht="15.5">
      <c r="B12" s="160"/>
      <c r="C12" s="160"/>
      <c r="D12" s="25"/>
      <c r="E12" s="48" t="s">
        <v>10</v>
      </c>
      <c r="F12" s="178"/>
      <c r="G12" s="178"/>
      <c r="H12" s="178"/>
      <c r="I12" s="178"/>
      <c r="J12" s="25"/>
      <c r="K12" s="161"/>
      <c r="L12" s="160"/>
      <c r="M12" s="48" t="s">
        <v>10</v>
      </c>
      <c r="N12" s="24"/>
      <c r="O12" s="25"/>
    </row>
    <row r="13" spans="2:15" ht="30" customHeight="1">
      <c r="B13" s="160"/>
      <c r="C13" s="160"/>
      <c r="D13" s="25"/>
      <c r="E13" s="73"/>
      <c r="F13" s="178"/>
      <c r="G13" s="178"/>
      <c r="H13" s="178"/>
      <c r="I13" s="178"/>
      <c r="J13" s="25"/>
      <c r="K13" s="342">
        <f>'3-Costs'!I66+'3-Costs'!I74</f>
        <v>215625</v>
      </c>
      <c r="L13" s="342"/>
      <c r="M13" s="342"/>
      <c r="N13" s="24"/>
      <c r="O13" s="25"/>
    </row>
    <row r="14" spans="2:15" ht="15.5">
      <c r="B14" s="160"/>
      <c r="C14" s="160"/>
      <c r="D14" s="25"/>
      <c r="E14" s="48" t="s">
        <v>11</v>
      </c>
      <c r="F14" s="178"/>
      <c r="G14" s="178"/>
      <c r="H14" s="178"/>
      <c r="I14" s="178"/>
      <c r="J14" s="25"/>
      <c r="K14" s="161"/>
      <c r="L14" s="160"/>
      <c r="M14" s="48" t="s">
        <v>11</v>
      </c>
      <c r="N14" s="24"/>
      <c r="O14" s="25"/>
    </row>
    <row r="15" spans="2:15" ht="30" customHeight="1">
      <c r="B15" s="160"/>
      <c r="C15" s="160"/>
      <c r="D15" s="25"/>
      <c r="E15" s="207">
        <f>IF(OR(E11="",E13=""),E11+E13,IFERROR(AVERAGE(E11,E13),""))</f>
        <v>0</v>
      </c>
      <c r="F15" s="178"/>
      <c r="G15" s="178"/>
      <c r="H15" s="178"/>
      <c r="I15" s="178"/>
      <c r="J15" s="25"/>
      <c r="K15" s="342">
        <f>IF(OR(K11="",K13=""),K11+K13,IFERROR(AVERAGE(K11,K13),""))</f>
        <v>179687.5</v>
      </c>
      <c r="L15" s="342"/>
      <c r="M15" s="342"/>
      <c r="N15" s="24"/>
      <c r="O15" s="25"/>
    </row>
    <row r="16" spans="2:15" ht="15.5">
      <c r="B16" s="160"/>
      <c r="C16" s="160"/>
      <c r="D16" s="25"/>
      <c r="E16" s="48" t="s">
        <v>12</v>
      </c>
      <c r="F16" s="178"/>
      <c r="G16" s="178"/>
      <c r="H16" s="178"/>
      <c r="I16" s="178"/>
      <c r="J16" s="25"/>
      <c r="K16" s="343" t="s">
        <v>12</v>
      </c>
      <c r="L16" s="343"/>
      <c r="M16" s="343"/>
      <c r="N16" s="24"/>
      <c r="O16" s="25"/>
    </row>
    <row r="17" spans="2:15" ht="39.75" customHeight="1">
      <c r="B17" s="160"/>
      <c r="C17" s="160"/>
      <c r="D17" s="25"/>
      <c r="E17" s="178"/>
      <c r="F17" s="178"/>
      <c r="G17" s="178"/>
      <c r="H17" s="178"/>
      <c r="I17" s="178"/>
      <c r="J17" s="25"/>
      <c r="K17" s="161"/>
      <c r="L17" s="160"/>
      <c r="M17" s="32"/>
      <c r="N17" s="24"/>
      <c r="O17" s="25"/>
    </row>
    <row r="18" spans="2:15" ht="15.5">
      <c r="B18" s="160"/>
      <c r="C18" s="160"/>
      <c r="D18" s="25"/>
      <c r="E18" s="178"/>
      <c r="F18" s="178"/>
      <c r="G18" s="178"/>
      <c r="H18" s="178"/>
      <c r="I18" s="178"/>
      <c r="J18" s="25"/>
      <c r="K18" s="161"/>
      <c r="L18" s="160"/>
      <c r="M18" s="32"/>
      <c r="N18" s="24"/>
      <c r="O18" s="25"/>
    </row>
    <row r="19" spans="2:15" ht="30" customHeight="1">
      <c r="B19" s="339" t="s">
        <v>324</v>
      </c>
      <c r="C19" s="339"/>
      <c r="D19" s="225"/>
      <c r="E19" s="207">
        <f>('1-Description'!E55+'1-Description'!E57+'1-Description'!E59)*1.2/12/3</f>
        <v>6500</v>
      </c>
      <c r="F19" s="178"/>
      <c r="G19" s="224" t="s">
        <v>323</v>
      </c>
      <c r="H19" s="160"/>
      <c r="I19" s="73"/>
      <c r="J19" s="160"/>
      <c r="K19" s="340" t="s">
        <v>230</v>
      </c>
      <c r="L19" s="340"/>
      <c r="M19" s="340"/>
      <c r="N19" s="73"/>
      <c r="O19" s="25"/>
    </row>
    <row r="20" spans="2:15" ht="15.5">
      <c r="B20" s="225"/>
      <c r="C20" s="225"/>
      <c r="D20" s="25"/>
      <c r="E20" s="48" t="s">
        <v>10</v>
      </c>
      <c r="F20" s="166"/>
      <c r="G20" s="166"/>
      <c r="H20" s="25"/>
      <c r="I20" s="48" t="s">
        <v>10</v>
      </c>
      <c r="J20" s="45"/>
      <c r="K20" s="167"/>
      <c r="L20" s="70"/>
      <c r="M20" s="24"/>
      <c r="N20" s="48" t="s">
        <v>10</v>
      </c>
      <c r="O20" s="25"/>
    </row>
    <row r="21" spans="2:15" ht="30" customHeight="1">
      <c r="B21" s="160"/>
      <c r="C21" s="160"/>
      <c r="D21" s="25"/>
      <c r="E21" s="207">
        <f>('1-Description'!E55+'1-Description'!E57+'1-Description'!E59)*1.2/12/3</f>
        <v>6500</v>
      </c>
      <c r="F21" s="177"/>
      <c r="G21" s="177"/>
      <c r="H21" s="177"/>
      <c r="I21" s="73"/>
      <c r="J21" s="25"/>
      <c r="K21" s="161"/>
      <c r="L21" s="160"/>
      <c r="M21" s="32"/>
      <c r="N21" s="73"/>
      <c r="O21" s="25"/>
    </row>
    <row r="22" spans="2:15" ht="15.5">
      <c r="B22" s="160"/>
      <c r="C22" s="160"/>
      <c r="D22" s="25"/>
      <c r="E22" s="48" t="s">
        <v>11</v>
      </c>
      <c r="F22" s="25"/>
      <c r="G22" s="168"/>
      <c r="H22" s="168"/>
      <c r="I22" s="48" t="s">
        <v>11</v>
      </c>
      <c r="J22" s="47"/>
      <c r="K22" s="169"/>
      <c r="L22" s="47"/>
      <c r="M22" s="24"/>
      <c r="N22" s="48" t="s">
        <v>11</v>
      </c>
      <c r="O22" s="25"/>
    </row>
    <row r="23" spans="2:15" ht="30" customHeight="1">
      <c r="B23" s="160"/>
      <c r="C23" s="160"/>
      <c r="D23" s="25"/>
      <c r="E23" s="207">
        <f>IF(OR(E19="",E21=""),E19+E21,IFERROR(AVERAGE(E19,E21),""))</f>
        <v>6500</v>
      </c>
      <c r="F23" s="177"/>
      <c r="G23" s="177"/>
      <c r="H23" s="177"/>
      <c r="I23" s="207">
        <f>IF(OR(I19="",I21=""),I19+I21,IFERROR(AVERAGE(I19,I21),""))</f>
        <v>0</v>
      </c>
      <c r="J23" s="25"/>
      <c r="K23" s="161"/>
      <c r="L23" s="160"/>
      <c r="M23" s="32"/>
      <c r="N23" s="207">
        <f>IF(OR(N19="",N21=""),N19+N21,IFERROR(AVERAGE(N19,N21),""))</f>
        <v>0</v>
      </c>
      <c r="O23" s="25"/>
    </row>
    <row r="24" spans="2:15" ht="15.5">
      <c r="B24" s="25"/>
      <c r="C24" s="25"/>
      <c r="D24" s="25"/>
      <c r="E24" s="48" t="s">
        <v>12</v>
      </c>
      <c r="F24" s="25"/>
      <c r="G24" s="25"/>
      <c r="H24" s="25"/>
      <c r="I24" s="48" t="s">
        <v>12</v>
      </c>
      <c r="J24" s="25"/>
      <c r="K24" s="159"/>
      <c r="L24" s="25"/>
      <c r="M24" s="24"/>
      <c r="N24" s="48" t="s">
        <v>12</v>
      </c>
      <c r="O24" s="25"/>
    </row>
    <row r="25" spans="2:15" ht="15.5">
      <c r="B25" s="160"/>
      <c r="C25" s="160"/>
      <c r="D25" s="25"/>
      <c r="E25" s="177"/>
      <c r="F25" s="177"/>
      <c r="G25" s="177"/>
      <c r="H25" s="177"/>
      <c r="I25" s="177"/>
      <c r="J25" s="25"/>
      <c r="K25" s="161"/>
      <c r="L25" s="160"/>
      <c r="M25" s="32"/>
      <c r="N25" s="24"/>
      <c r="O25" s="25"/>
    </row>
    <row r="26" spans="2:15" ht="15.5">
      <c r="B26" s="25"/>
      <c r="C26" s="25"/>
      <c r="D26" s="25"/>
      <c r="E26" s="32"/>
      <c r="F26" s="25"/>
      <c r="G26" s="25"/>
      <c r="H26" s="25"/>
      <c r="I26" s="25"/>
      <c r="J26" s="25"/>
      <c r="K26" s="159"/>
      <c r="L26" s="25"/>
      <c r="M26" s="55"/>
      <c r="N26" s="55"/>
      <c r="O26" s="25"/>
    </row>
    <row r="27" spans="2:15" ht="30" customHeight="1">
      <c r="B27" s="341" t="s">
        <v>231</v>
      </c>
      <c r="C27" s="341"/>
      <c r="D27" s="179"/>
      <c r="E27" s="180" t="str">
        <f>IFERROR((E11-K11)/(E19*I19+N19),"")</f>
        <v/>
      </c>
      <c r="F27" s="25"/>
      <c r="G27" s="25"/>
      <c r="H27" s="25"/>
      <c r="I27" s="25"/>
      <c r="J27" s="25"/>
      <c r="K27" s="159"/>
      <c r="L27" s="25"/>
      <c r="M27" s="55"/>
      <c r="N27" s="55"/>
      <c r="O27" s="25"/>
    </row>
    <row r="28" spans="2:15" ht="15.5">
      <c r="B28" s="179"/>
      <c r="C28" s="179"/>
      <c r="D28" s="179"/>
      <c r="E28" s="49" t="s">
        <v>10</v>
      </c>
      <c r="F28" s="25"/>
      <c r="G28" s="25"/>
      <c r="H28" s="25"/>
      <c r="I28" s="25"/>
      <c r="J28" s="25"/>
      <c r="K28" s="159"/>
      <c r="L28" s="25"/>
      <c r="M28" s="55"/>
      <c r="N28" s="55"/>
      <c r="O28" s="25"/>
    </row>
    <row r="29" spans="2:15" ht="30" customHeight="1">
      <c r="B29" s="179"/>
      <c r="C29" s="179"/>
      <c r="D29" s="179"/>
      <c r="E29" s="180" t="str">
        <f>IFERROR((E13-K13)/(E21*I21+N21),"")</f>
        <v/>
      </c>
      <c r="F29" s="25"/>
      <c r="G29" s="25"/>
      <c r="H29" s="25"/>
      <c r="I29" s="25"/>
      <c r="J29" s="25"/>
      <c r="K29" s="159"/>
      <c r="L29" s="25"/>
      <c r="M29" s="55"/>
      <c r="N29" s="55"/>
      <c r="O29" s="25"/>
    </row>
    <row r="30" spans="2:15" ht="15.5">
      <c r="B30" s="179"/>
      <c r="C30" s="179"/>
      <c r="D30" s="179"/>
      <c r="E30" s="49" t="s">
        <v>11</v>
      </c>
      <c r="F30" s="25"/>
      <c r="G30" s="25"/>
      <c r="H30" s="25"/>
      <c r="I30" s="25"/>
      <c r="J30" s="25"/>
      <c r="K30" s="159"/>
      <c r="L30" s="25"/>
      <c r="M30" s="55"/>
      <c r="N30" s="55"/>
      <c r="O30" s="25"/>
    </row>
    <row r="31" spans="2:15" ht="30" customHeight="1">
      <c r="B31" s="181"/>
      <c r="C31" s="181"/>
      <c r="D31" s="179"/>
      <c r="E31" s="180" t="str">
        <f>IFERROR(AVERAGE(E27,E29),"")</f>
        <v/>
      </c>
      <c r="F31" s="177"/>
      <c r="G31" s="177"/>
      <c r="H31" s="177"/>
      <c r="I31" s="177"/>
      <c r="J31" s="25"/>
      <c r="K31" s="161"/>
      <c r="L31" s="160"/>
      <c r="M31" s="32"/>
      <c r="N31" s="25"/>
      <c r="O31" s="25"/>
    </row>
    <row r="32" spans="2:15" ht="15.5">
      <c r="B32" s="179"/>
      <c r="C32" s="179"/>
      <c r="D32" s="179"/>
      <c r="E32" s="49" t="s">
        <v>12</v>
      </c>
      <c r="F32" s="166"/>
      <c r="G32" s="166"/>
      <c r="H32" s="61"/>
      <c r="I32" s="25"/>
      <c r="J32" s="25"/>
      <c r="K32" s="159"/>
      <c r="L32" s="25"/>
      <c r="M32" s="24"/>
      <c r="N32" s="24"/>
      <c r="O32" s="25"/>
    </row>
    <row r="33" spans="2:25" ht="15.5">
      <c r="B33" s="160"/>
      <c r="C33" s="160"/>
      <c r="D33" s="25"/>
      <c r="E33" s="337"/>
      <c r="F33" s="337"/>
      <c r="G33" s="337"/>
      <c r="H33" s="337"/>
      <c r="I33" s="337"/>
      <c r="J33" s="25"/>
      <c r="K33" s="161"/>
      <c r="L33" s="160"/>
      <c r="M33" s="32"/>
      <c r="N33" s="24"/>
      <c r="O33" s="25"/>
    </row>
    <row r="34" spans="2:25" ht="15.75" customHeight="1">
      <c r="B34" s="25"/>
      <c r="C34" s="25"/>
      <c r="D34" s="25"/>
      <c r="E34" s="24"/>
      <c r="F34" s="25"/>
      <c r="G34" s="25"/>
      <c r="H34" s="25"/>
      <c r="I34" s="25"/>
      <c r="J34" s="25"/>
      <c r="K34" s="159"/>
      <c r="L34" s="25"/>
      <c r="M34" s="24"/>
      <c r="N34" s="24"/>
      <c r="O34" s="25"/>
    </row>
    <row r="35" spans="2:25" ht="15.75" customHeight="1">
      <c r="B35" s="25"/>
      <c r="C35" s="61"/>
      <c r="D35" s="25"/>
      <c r="E35" s="25"/>
      <c r="F35" s="25"/>
      <c r="G35" s="54"/>
      <c r="H35" s="119"/>
      <c r="I35" s="119"/>
      <c r="J35" s="119"/>
      <c r="K35" s="170"/>
      <c r="L35" s="119"/>
      <c r="M35" s="121"/>
      <c r="N35" s="121"/>
      <c r="O35" s="25"/>
      <c r="Q35" s="28"/>
      <c r="R35" s="35"/>
      <c r="S35" s="35"/>
      <c r="T35" s="35"/>
      <c r="U35" s="35"/>
      <c r="V35" s="35"/>
      <c r="W35" s="35"/>
      <c r="X35" s="35"/>
      <c r="Y35" s="35"/>
    </row>
    <row r="36" spans="2:25" ht="60" customHeight="1">
      <c r="B36" s="334"/>
      <c r="C36" s="334"/>
      <c r="D36" s="334"/>
      <c r="E36" s="334"/>
      <c r="F36" s="334"/>
      <c r="G36" s="334"/>
      <c r="H36" s="334"/>
      <c r="I36" s="334"/>
      <c r="J36" s="334"/>
      <c r="K36" s="334"/>
      <c r="L36" s="334"/>
      <c r="M36" s="334"/>
      <c r="N36" s="334"/>
      <c r="O36" s="334"/>
      <c r="Q36" s="28"/>
      <c r="R36" s="35"/>
      <c r="S36" s="35"/>
      <c r="T36" s="35"/>
      <c r="U36" s="35"/>
      <c r="V36" s="35"/>
      <c r="W36" s="35"/>
      <c r="X36" s="35"/>
      <c r="Y36" s="35"/>
    </row>
    <row r="37" spans="2:25" ht="22.5" hidden="1" customHeight="1">
      <c r="B37" s="321"/>
      <c r="C37" s="321"/>
      <c r="D37" s="122"/>
      <c r="E37" s="322"/>
      <c r="F37" s="322"/>
      <c r="G37" s="322"/>
      <c r="H37" s="322"/>
      <c r="I37" s="322"/>
      <c r="J37" s="124"/>
      <c r="K37" s="171"/>
      <c r="L37" s="123"/>
      <c r="M37" s="124"/>
      <c r="N37" s="124"/>
      <c r="O37" s="125"/>
      <c r="Q37" s="28" t="s">
        <v>25</v>
      </c>
      <c r="R37" s="318" t="s">
        <v>27</v>
      </c>
      <c r="S37" s="318"/>
      <c r="T37" s="318"/>
      <c r="U37" s="318"/>
      <c r="V37" s="318"/>
      <c r="W37" s="318"/>
      <c r="X37" s="318"/>
      <c r="Y37" s="318"/>
    </row>
    <row r="38" spans="2:25" ht="87.75" hidden="1" customHeight="1">
      <c r="B38" s="319"/>
      <c r="C38" s="319"/>
      <c r="D38" s="126"/>
      <c r="E38" s="320"/>
      <c r="F38" s="320"/>
      <c r="G38" s="320"/>
      <c r="H38" s="320"/>
      <c r="I38" s="320"/>
      <c r="J38" s="153"/>
      <c r="K38" s="172"/>
      <c r="L38" s="123"/>
      <c r="M38" s="127"/>
      <c r="N38" s="127"/>
      <c r="O38" s="122"/>
      <c r="Q38" s="28"/>
      <c r="R38" s="35"/>
      <c r="S38" s="35"/>
      <c r="T38" s="35"/>
      <c r="U38" s="35"/>
      <c r="V38" s="35"/>
      <c r="W38" s="35"/>
      <c r="X38" s="35"/>
      <c r="Y38" s="35"/>
    </row>
    <row r="39" spans="2:25" ht="87" hidden="1" customHeight="1">
      <c r="B39" s="319"/>
      <c r="C39" s="319"/>
      <c r="D39" s="126"/>
      <c r="E39" s="320"/>
      <c r="F39" s="320"/>
      <c r="G39" s="320"/>
      <c r="H39" s="320"/>
      <c r="I39" s="320"/>
      <c r="J39" s="153"/>
      <c r="K39" s="172"/>
      <c r="L39" s="128"/>
      <c r="M39" s="128"/>
      <c r="N39" s="128"/>
      <c r="O39" s="128"/>
      <c r="Q39" s="28"/>
      <c r="R39" s="35"/>
      <c r="S39" s="35"/>
      <c r="T39" s="35"/>
      <c r="U39" s="35"/>
      <c r="V39" s="35"/>
      <c r="W39" s="35"/>
      <c r="X39" s="35"/>
      <c r="Y39" s="35"/>
    </row>
    <row r="40" spans="2:25" ht="71.25" hidden="1" customHeight="1">
      <c r="B40" s="319"/>
      <c r="C40" s="319"/>
      <c r="D40" s="126"/>
      <c r="E40" s="320"/>
      <c r="F40" s="320"/>
      <c r="G40" s="320"/>
      <c r="H40" s="320"/>
      <c r="I40" s="320"/>
      <c r="J40" s="153"/>
      <c r="K40" s="172"/>
      <c r="L40" s="122"/>
      <c r="M40" s="122"/>
      <c r="N40" s="122"/>
      <c r="O40" s="122"/>
      <c r="Q40" s="31" t="s">
        <v>21</v>
      </c>
      <c r="R40" s="318" t="s">
        <v>28</v>
      </c>
      <c r="S40" s="318"/>
      <c r="T40" s="318"/>
      <c r="U40" s="318"/>
      <c r="V40" s="318"/>
      <c r="W40" s="318"/>
      <c r="X40" s="318"/>
      <c r="Y40" s="318"/>
    </row>
    <row r="41" spans="2:25" ht="86.25" hidden="1" customHeight="1">
      <c r="B41" s="319"/>
      <c r="C41" s="319"/>
      <c r="D41" s="126"/>
      <c r="E41" s="320"/>
      <c r="F41" s="320"/>
      <c r="G41" s="320"/>
      <c r="H41" s="320"/>
      <c r="I41" s="320"/>
      <c r="J41" s="153"/>
      <c r="K41" s="172"/>
      <c r="L41" s="122"/>
      <c r="M41" s="122"/>
      <c r="N41" s="122"/>
      <c r="O41" s="122"/>
      <c r="Q41" s="31" t="s">
        <v>22</v>
      </c>
      <c r="R41" s="318" t="s">
        <v>262</v>
      </c>
      <c r="S41" s="318"/>
      <c r="T41" s="318"/>
      <c r="U41" s="318"/>
      <c r="V41" s="318"/>
      <c r="W41" s="318"/>
      <c r="X41" s="318"/>
      <c r="Y41" s="318"/>
    </row>
    <row r="42" spans="2:25" ht="83.25" hidden="1" customHeight="1">
      <c r="B42" s="319"/>
      <c r="C42" s="319"/>
      <c r="D42" s="126"/>
      <c r="E42" s="320"/>
      <c r="F42" s="320"/>
      <c r="G42" s="320"/>
      <c r="H42" s="320"/>
      <c r="I42" s="320"/>
      <c r="J42" s="153"/>
      <c r="K42" s="172"/>
      <c r="L42" s="122"/>
      <c r="M42" s="129"/>
      <c r="N42" s="129"/>
      <c r="O42" s="122"/>
      <c r="Q42" s="31" t="s">
        <v>23</v>
      </c>
      <c r="R42" s="318" t="s">
        <v>29</v>
      </c>
      <c r="S42" s="318"/>
      <c r="T42" s="318"/>
      <c r="U42" s="318"/>
      <c r="V42" s="318"/>
      <c r="W42" s="318"/>
      <c r="X42" s="318"/>
      <c r="Y42" s="318"/>
    </row>
    <row r="43" spans="2:25" ht="45.75" hidden="1" customHeight="1">
      <c r="B43" s="122"/>
      <c r="C43" s="122"/>
      <c r="D43" s="122"/>
      <c r="E43" s="130"/>
      <c r="F43" s="122"/>
      <c r="G43" s="122"/>
      <c r="H43" s="122"/>
      <c r="I43" s="122"/>
      <c r="J43" s="122"/>
      <c r="K43" s="173"/>
      <c r="L43" s="122"/>
      <c r="M43" s="129"/>
      <c r="N43" s="129"/>
      <c r="O43" s="122"/>
      <c r="Q43" s="31"/>
      <c r="R43" s="35"/>
      <c r="S43" s="35"/>
      <c r="T43" s="35"/>
      <c r="U43" s="35"/>
      <c r="V43" s="35"/>
      <c r="W43" s="35"/>
      <c r="X43" s="35"/>
      <c r="Y43" s="35"/>
    </row>
    <row r="44" spans="2:25" ht="15.75" hidden="1" customHeight="1">
      <c r="B44" s="122"/>
      <c r="C44" s="122"/>
      <c r="D44" s="122"/>
      <c r="E44" s="130"/>
      <c r="F44" s="122"/>
      <c r="G44" s="122"/>
      <c r="H44" s="122"/>
      <c r="I44" s="122"/>
      <c r="J44" s="122"/>
      <c r="K44" s="173"/>
      <c r="L44" s="122"/>
      <c r="M44" s="129"/>
      <c r="N44" s="129"/>
      <c r="O44" s="122"/>
      <c r="Q44" s="31"/>
      <c r="R44" s="35"/>
      <c r="S44" s="35"/>
      <c r="T44" s="35"/>
      <c r="U44" s="35"/>
      <c r="V44" s="35"/>
      <c r="W44" s="35"/>
      <c r="X44" s="35"/>
      <c r="Y44" s="35"/>
    </row>
    <row r="45" spans="2:25" ht="22.5" hidden="1" customHeight="1">
      <c r="B45" s="321"/>
      <c r="C45" s="321"/>
      <c r="D45" s="122"/>
      <c r="E45" s="322"/>
      <c r="F45" s="322"/>
      <c r="G45" s="322"/>
      <c r="H45" s="322"/>
      <c r="I45" s="322"/>
      <c r="J45" s="124"/>
      <c r="K45" s="171"/>
      <c r="L45" s="123"/>
      <c r="M45" s="124"/>
      <c r="N45" s="124"/>
      <c r="O45" s="125"/>
      <c r="Q45" s="28" t="s">
        <v>25</v>
      </c>
      <c r="R45" s="318" t="s">
        <v>27</v>
      </c>
      <c r="S45" s="318"/>
      <c r="T45" s="318"/>
      <c r="U45" s="318"/>
      <c r="V45" s="318"/>
      <c r="W45" s="318"/>
      <c r="X45" s="318"/>
      <c r="Y45" s="318"/>
    </row>
    <row r="46" spans="2:25" ht="87.75" hidden="1" customHeight="1">
      <c r="B46" s="319"/>
      <c r="C46" s="319"/>
      <c r="D46" s="126"/>
      <c r="E46" s="320"/>
      <c r="F46" s="320"/>
      <c r="G46" s="320"/>
      <c r="H46" s="320"/>
      <c r="I46" s="320"/>
      <c r="J46" s="153"/>
      <c r="K46" s="172"/>
      <c r="L46" s="123"/>
      <c r="M46" s="127"/>
      <c r="N46" s="127"/>
      <c r="O46" s="122"/>
      <c r="Q46" s="28"/>
      <c r="R46" s="35"/>
      <c r="S46" s="35"/>
      <c r="T46" s="35"/>
      <c r="U46" s="35"/>
      <c r="V46" s="35"/>
      <c r="W46" s="35"/>
      <c r="X46" s="35"/>
      <c r="Y46" s="35"/>
    </row>
    <row r="47" spans="2:25" ht="87" hidden="1" customHeight="1">
      <c r="B47" s="319"/>
      <c r="C47" s="319"/>
      <c r="D47" s="126"/>
      <c r="E47" s="320"/>
      <c r="F47" s="320"/>
      <c r="G47" s="320"/>
      <c r="H47" s="320"/>
      <c r="I47" s="320"/>
      <c r="J47" s="153"/>
      <c r="K47" s="172"/>
      <c r="L47" s="128"/>
      <c r="M47" s="128"/>
      <c r="N47" s="128"/>
      <c r="O47" s="128"/>
      <c r="Q47" s="28"/>
      <c r="R47" s="35"/>
      <c r="S47" s="35"/>
      <c r="T47" s="35"/>
      <c r="U47" s="35"/>
      <c r="V47" s="35"/>
      <c r="W47" s="35"/>
      <c r="X47" s="35"/>
      <c r="Y47" s="35"/>
    </row>
    <row r="48" spans="2:25" ht="71.25" hidden="1" customHeight="1">
      <c r="B48" s="319"/>
      <c r="C48" s="319"/>
      <c r="D48" s="126"/>
      <c r="E48" s="320"/>
      <c r="F48" s="320"/>
      <c r="G48" s="320"/>
      <c r="H48" s="320"/>
      <c r="I48" s="320"/>
      <c r="J48" s="153"/>
      <c r="K48" s="172"/>
      <c r="L48" s="122"/>
      <c r="M48" s="122"/>
      <c r="N48" s="122"/>
      <c r="O48" s="122"/>
      <c r="Q48" s="31" t="s">
        <v>21</v>
      </c>
      <c r="R48" s="318" t="s">
        <v>28</v>
      </c>
      <c r="S48" s="318"/>
      <c r="T48" s="318"/>
      <c r="U48" s="318"/>
      <c r="V48" s="318"/>
      <c r="W48" s="318"/>
      <c r="X48" s="318"/>
      <c r="Y48" s="318"/>
    </row>
    <row r="49" spans="2:25" ht="86.25" hidden="1" customHeight="1">
      <c r="B49" s="319"/>
      <c r="C49" s="319"/>
      <c r="D49" s="126"/>
      <c r="E49" s="320"/>
      <c r="F49" s="320"/>
      <c r="G49" s="320"/>
      <c r="H49" s="320"/>
      <c r="I49" s="320"/>
      <c r="J49" s="153"/>
      <c r="K49" s="172"/>
      <c r="L49" s="122"/>
      <c r="M49" s="122"/>
      <c r="N49" s="122"/>
      <c r="O49" s="122"/>
      <c r="Q49" s="31" t="s">
        <v>22</v>
      </c>
      <c r="R49" s="318" t="s">
        <v>262</v>
      </c>
      <c r="S49" s="318"/>
      <c r="T49" s="318"/>
      <c r="U49" s="318"/>
      <c r="V49" s="318"/>
      <c r="W49" s="318"/>
      <c r="X49" s="318"/>
      <c r="Y49" s="318"/>
    </row>
    <row r="50" spans="2:25" ht="83.25" hidden="1" customHeight="1">
      <c r="B50" s="319"/>
      <c r="C50" s="319"/>
      <c r="D50" s="126"/>
      <c r="E50" s="320"/>
      <c r="F50" s="320"/>
      <c r="G50" s="320"/>
      <c r="H50" s="320"/>
      <c r="I50" s="320"/>
      <c r="J50" s="153"/>
      <c r="K50" s="172"/>
      <c r="L50" s="122"/>
      <c r="M50" s="129"/>
      <c r="N50" s="129"/>
      <c r="O50" s="122"/>
      <c r="Q50" s="31" t="s">
        <v>23</v>
      </c>
      <c r="R50" s="318" t="s">
        <v>29</v>
      </c>
      <c r="S50" s="318"/>
      <c r="T50" s="318"/>
      <c r="U50" s="318"/>
      <c r="V50" s="318"/>
      <c r="W50" s="318"/>
      <c r="X50" s="318"/>
      <c r="Y50" s="318"/>
    </row>
    <row r="51" spans="2:25" ht="15.75" hidden="1" customHeight="1">
      <c r="B51" s="122"/>
      <c r="C51" s="122"/>
      <c r="D51" s="122"/>
      <c r="E51" s="130"/>
      <c r="F51" s="122"/>
      <c r="G51" s="122"/>
      <c r="H51" s="122"/>
      <c r="I51" s="122"/>
      <c r="J51" s="122"/>
      <c r="K51" s="173"/>
      <c r="L51" s="122"/>
      <c r="M51" s="122"/>
      <c r="N51" s="122"/>
      <c r="O51" s="122"/>
      <c r="Q51" s="31"/>
      <c r="R51" s="35"/>
      <c r="S51" s="35"/>
      <c r="T51" s="35"/>
      <c r="U51" s="35"/>
      <c r="V51" s="35"/>
      <c r="W51" s="35"/>
      <c r="X51" s="35"/>
      <c r="Y51" s="35"/>
    </row>
    <row r="52" spans="2:25" ht="15.75" hidden="1" customHeight="1">
      <c r="B52" s="122"/>
      <c r="C52" s="122"/>
      <c r="D52" s="122"/>
      <c r="E52" s="122"/>
      <c r="F52" s="122"/>
      <c r="G52" s="122"/>
      <c r="H52" s="122"/>
      <c r="I52" s="122"/>
      <c r="J52" s="122"/>
      <c r="K52" s="173"/>
      <c r="L52" s="122"/>
      <c r="M52" s="122"/>
      <c r="N52" s="122"/>
      <c r="O52" s="122"/>
      <c r="Q52" s="31"/>
      <c r="R52" s="35"/>
      <c r="S52" s="35"/>
      <c r="T52" s="35"/>
      <c r="U52" s="35"/>
      <c r="V52" s="35"/>
      <c r="W52" s="35"/>
      <c r="X52" s="35"/>
      <c r="Y52" s="35"/>
    </row>
    <row r="53" spans="2:25" ht="15.75" hidden="1" customHeight="1">
      <c r="B53" s="131"/>
      <c r="C53" s="131"/>
      <c r="D53" s="122"/>
      <c r="E53" s="130"/>
      <c r="F53" s="122"/>
      <c r="G53" s="122"/>
      <c r="H53" s="122"/>
      <c r="I53" s="122"/>
      <c r="J53" s="122"/>
      <c r="K53" s="173"/>
      <c r="L53" s="122"/>
      <c r="M53" s="122"/>
      <c r="N53" s="122"/>
      <c r="O53" s="122"/>
      <c r="Q53" s="31"/>
      <c r="R53" s="35"/>
      <c r="S53" s="35"/>
      <c r="T53" s="35"/>
      <c r="U53" s="35"/>
      <c r="V53" s="35"/>
      <c r="W53" s="35"/>
      <c r="X53" s="35"/>
      <c r="Y53" s="35"/>
    </row>
    <row r="54" spans="2:25" ht="15.75" hidden="1" customHeight="1">
      <c r="B54" s="131"/>
      <c r="C54" s="131"/>
      <c r="D54" s="122"/>
      <c r="E54" s="130"/>
      <c r="F54" s="122"/>
      <c r="G54" s="122"/>
      <c r="H54" s="122"/>
      <c r="I54" s="122"/>
      <c r="J54" s="122"/>
      <c r="K54" s="173"/>
      <c r="L54" s="122"/>
      <c r="M54" s="129"/>
      <c r="N54" s="129"/>
      <c r="O54" s="122"/>
      <c r="Q54" s="31"/>
      <c r="R54" s="35"/>
      <c r="S54" s="35"/>
      <c r="T54" s="35"/>
      <c r="U54" s="35"/>
      <c r="V54" s="35"/>
      <c r="W54" s="35"/>
      <c r="X54" s="35"/>
      <c r="Y54" s="35"/>
    </row>
    <row r="55" spans="2:25" ht="15.75" hidden="1" customHeight="1">
      <c r="B55" s="122"/>
      <c r="C55" s="132"/>
      <c r="D55" s="122"/>
      <c r="E55" s="130"/>
      <c r="F55" s="122"/>
      <c r="G55" s="122"/>
      <c r="H55" s="122"/>
      <c r="I55" s="122"/>
      <c r="J55" s="122"/>
      <c r="K55" s="173"/>
      <c r="L55" s="122"/>
      <c r="M55" s="129"/>
      <c r="N55" s="129"/>
      <c r="O55" s="122"/>
      <c r="Q55" s="31"/>
      <c r="R55" s="35"/>
      <c r="S55" s="35"/>
      <c r="T55" s="35"/>
      <c r="U55" s="35"/>
      <c r="V55" s="35"/>
      <c r="W55" s="35"/>
      <c r="X55" s="35"/>
      <c r="Y55" s="35"/>
    </row>
    <row r="56" spans="2:25" ht="48.75" hidden="1" customHeight="1">
      <c r="B56" s="122"/>
      <c r="C56" s="122"/>
      <c r="D56" s="122"/>
      <c r="E56" s="130"/>
      <c r="F56" s="122"/>
      <c r="G56" s="122"/>
      <c r="H56" s="122"/>
      <c r="I56" s="122"/>
      <c r="J56" s="122"/>
      <c r="K56" s="173"/>
      <c r="L56" s="122"/>
      <c r="M56" s="129"/>
      <c r="N56" s="129"/>
      <c r="O56" s="122"/>
      <c r="Q56" s="31"/>
      <c r="R56" s="35"/>
      <c r="S56" s="35"/>
      <c r="T56" s="35"/>
      <c r="U56" s="35"/>
      <c r="V56" s="35"/>
      <c r="W56" s="35"/>
      <c r="X56" s="35"/>
      <c r="Y56" s="35"/>
    </row>
    <row r="57" spans="2:25" ht="15" hidden="1" customHeight="1">
      <c r="B57" s="122"/>
      <c r="C57" s="122"/>
      <c r="D57" s="122"/>
      <c r="E57" s="130"/>
      <c r="F57" s="122"/>
      <c r="G57" s="122"/>
      <c r="H57" s="122"/>
      <c r="I57" s="122"/>
      <c r="J57" s="122"/>
      <c r="K57" s="173"/>
      <c r="L57" s="122"/>
      <c r="M57" s="122"/>
      <c r="N57" s="122"/>
      <c r="O57" s="122"/>
      <c r="Q57" s="31"/>
      <c r="R57" s="35"/>
      <c r="S57" s="35"/>
      <c r="T57" s="35"/>
      <c r="U57" s="35"/>
      <c r="V57" s="35"/>
      <c r="W57" s="35"/>
      <c r="X57" s="35"/>
      <c r="Y57" s="35"/>
    </row>
    <row r="58" spans="2:25" ht="30" hidden="1" customHeight="1">
      <c r="B58" s="122"/>
      <c r="C58" s="122"/>
      <c r="D58" s="122"/>
      <c r="E58" s="122"/>
      <c r="F58" s="122"/>
      <c r="G58" s="122"/>
      <c r="H58" s="122"/>
      <c r="I58" s="122"/>
      <c r="J58" s="122"/>
      <c r="K58" s="173"/>
      <c r="L58" s="122"/>
      <c r="M58" s="122"/>
      <c r="N58" s="122"/>
      <c r="O58" s="122"/>
      <c r="Q58" s="31"/>
      <c r="R58" s="35"/>
      <c r="S58" s="35"/>
      <c r="T58" s="35"/>
      <c r="U58" s="35"/>
      <c r="V58" s="35"/>
      <c r="W58" s="35"/>
      <c r="X58" s="35"/>
      <c r="Y58" s="35"/>
    </row>
    <row r="59" spans="2:25" ht="60" hidden="1" customHeight="1">
      <c r="B59" s="128"/>
      <c r="C59" s="128"/>
      <c r="D59" s="128"/>
      <c r="E59" s="128"/>
      <c r="F59" s="128"/>
      <c r="G59" s="128"/>
      <c r="H59" s="128"/>
      <c r="I59" s="128"/>
      <c r="J59" s="128"/>
      <c r="K59" s="174"/>
      <c r="L59" s="128"/>
      <c r="M59" s="128"/>
      <c r="N59" s="128"/>
      <c r="O59" s="128"/>
      <c r="Q59" s="31"/>
      <c r="R59" s="35"/>
      <c r="S59" s="35"/>
      <c r="T59" s="35"/>
      <c r="U59" s="35"/>
      <c r="V59" s="35"/>
      <c r="W59" s="35"/>
      <c r="X59" s="35"/>
      <c r="Y59" s="35"/>
    </row>
    <row r="60" spans="2:25" ht="15" hidden="1" customHeight="1">
      <c r="B60" s="133"/>
      <c r="C60" s="133"/>
      <c r="D60" s="133"/>
      <c r="E60" s="133"/>
      <c r="F60" s="133"/>
      <c r="G60" s="133"/>
      <c r="H60" s="133"/>
      <c r="I60" s="133"/>
      <c r="J60" s="133"/>
      <c r="K60" s="175"/>
      <c r="L60" s="133"/>
      <c r="M60" s="133"/>
      <c r="N60" s="133"/>
      <c r="O60" s="133"/>
      <c r="Q60" s="31"/>
      <c r="R60" s="35"/>
      <c r="S60" s="35"/>
      <c r="T60" s="35"/>
      <c r="U60" s="35"/>
      <c r="V60" s="35"/>
      <c r="W60" s="35"/>
      <c r="X60" s="35"/>
      <c r="Y60" s="35"/>
    </row>
    <row r="61" spans="2:25" ht="30" hidden="1" customHeight="1">
      <c r="B61" s="134"/>
      <c r="C61" s="134"/>
      <c r="D61" s="133"/>
      <c r="E61" s="135"/>
      <c r="F61" s="133"/>
      <c r="G61" s="133"/>
      <c r="H61" s="133"/>
      <c r="I61" s="133"/>
      <c r="J61" s="133"/>
      <c r="K61" s="175"/>
      <c r="L61" s="133"/>
      <c r="M61" s="136"/>
      <c r="N61" s="136"/>
      <c r="O61" s="133"/>
      <c r="Q61" s="31"/>
      <c r="R61" s="35"/>
      <c r="S61" s="35"/>
      <c r="T61" s="35"/>
      <c r="U61" s="35"/>
      <c r="V61" s="35"/>
      <c r="W61" s="35"/>
      <c r="X61" s="35"/>
      <c r="Y61" s="35"/>
    </row>
    <row r="62" spans="2:25" ht="15" hidden="1" customHeight="1">
      <c r="B62" s="133"/>
      <c r="C62" s="133"/>
      <c r="D62" s="133"/>
      <c r="E62" s="133"/>
      <c r="F62" s="133"/>
      <c r="G62" s="133"/>
      <c r="H62" s="133"/>
      <c r="I62" s="133"/>
      <c r="J62" s="133"/>
      <c r="K62" s="175"/>
      <c r="L62" s="133"/>
      <c r="M62" s="133"/>
      <c r="N62" s="133"/>
      <c r="O62" s="133"/>
      <c r="Q62" s="31"/>
      <c r="R62" s="35"/>
      <c r="S62" s="35"/>
      <c r="T62" s="35"/>
      <c r="U62" s="35"/>
      <c r="V62" s="35"/>
      <c r="W62" s="35"/>
      <c r="X62" s="35"/>
      <c r="Y62" s="35"/>
    </row>
    <row r="63" spans="2:25" ht="30" hidden="1" customHeight="1">
      <c r="B63" s="134"/>
      <c r="C63" s="134"/>
      <c r="D63" s="133"/>
      <c r="E63" s="135"/>
      <c r="F63" s="133"/>
      <c r="G63" s="133"/>
      <c r="H63" s="133"/>
      <c r="I63" s="133"/>
      <c r="J63" s="133"/>
      <c r="K63" s="175"/>
      <c r="L63" s="133"/>
      <c r="M63" s="136"/>
      <c r="N63" s="136"/>
      <c r="O63" s="133"/>
      <c r="Q63" s="31"/>
      <c r="R63" s="35"/>
      <c r="S63" s="35"/>
      <c r="T63" s="35"/>
      <c r="U63" s="35"/>
      <c r="V63" s="35"/>
      <c r="W63" s="35"/>
      <c r="X63" s="35"/>
      <c r="Y63" s="35"/>
    </row>
    <row r="64" spans="2:25" ht="15" hidden="1" customHeight="1">
      <c r="B64" s="133"/>
      <c r="C64" s="133"/>
      <c r="D64" s="133"/>
      <c r="E64" s="133"/>
      <c r="F64" s="133"/>
      <c r="G64" s="133"/>
      <c r="H64" s="133"/>
      <c r="I64" s="133"/>
      <c r="J64" s="133"/>
      <c r="K64" s="175"/>
      <c r="L64" s="133"/>
      <c r="M64" s="133"/>
      <c r="N64" s="133"/>
      <c r="O64" s="133"/>
      <c r="Q64" s="31"/>
      <c r="R64" s="35"/>
      <c r="S64" s="35"/>
      <c r="T64" s="35"/>
      <c r="U64" s="35"/>
      <c r="V64" s="35"/>
      <c r="W64" s="35"/>
      <c r="X64" s="35"/>
      <c r="Y64" s="35"/>
    </row>
    <row r="65" spans="2:25" ht="30" hidden="1" customHeight="1">
      <c r="B65" s="134"/>
      <c r="C65" s="134"/>
      <c r="D65" s="133"/>
      <c r="E65" s="135"/>
      <c r="F65" s="133"/>
      <c r="G65" s="133"/>
      <c r="H65" s="133"/>
      <c r="I65" s="133"/>
      <c r="J65" s="133"/>
      <c r="K65" s="175"/>
      <c r="L65" s="133"/>
      <c r="M65" s="136"/>
      <c r="N65" s="136"/>
      <c r="O65" s="133"/>
      <c r="Q65" s="31"/>
      <c r="R65" s="35"/>
      <c r="S65" s="35"/>
      <c r="T65" s="35"/>
      <c r="U65" s="35"/>
      <c r="V65" s="35"/>
      <c r="W65" s="35"/>
      <c r="X65" s="35"/>
      <c r="Y65" s="35"/>
    </row>
    <row r="66" spans="2:25" ht="15" hidden="1" customHeight="1">
      <c r="B66" s="133"/>
      <c r="C66" s="133"/>
      <c r="D66" s="133"/>
      <c r="E66" s="133"/>
      <c r="F66" s="133"/>
      <c r="G66" s="133"/>
      <c r="H66" s="133"/>
      <c r="I66" s="133"/>
      <c r="J66" s="133"/>
      <c r="K66" s="175"/>
      <c r="L66" s="133"/>
      <c r="M66" s="133"/>
      <c r="N66" s="133"/>
      <c r="O66" s="133"/>
      <c r="Q66" s="31"/>
      <c r="R66" s="35"/>
      <c r="S66" s="35"/>
      <c r="T66" s="35"/>
      <c r="U66" s="35"/>
      <c r="V66" s="35"/>
      <c r="W66" s="35"/>
      <c r="X66" s="35"/>
      <c r="Y66" s="35"/>
    </row>
    <row r="67" spans="2:25" ht="15" hidden="1" customHeight="1">
      <c r="B67" s="133"/>
      <c r="C67" s="133"/>
      <c r="D67" s="133"/>
      <c r="E67" s="133"/>
      <c r="F67" s="133"/>
      <c r="G67" s="133"/>
      <c r="H67" s="133"/>
      <c r="I67" s="133"/>
      <c r="J67" s="133"/>
      <c r="K67" s="175"/>
      <c r="L67" s="133"/>
      <c r="M67" s="133"/>
      <c r="N67" s="133"/>
      <c r="O67" s="133"/>
      <c r="Q67" s="31"/>
      <c r="R67" s="35"/>
      <c r="S67" s="35"/>
      <c r="T67" s="35"/>
      <c r="U67" s="35"/>
      <c r="V67" s="35"/>
      <c r="W67" s="35"/>
      <c r="X67" s="35"/>
      <c r="Y67" s="35"/>
    </row>
    <row r="68" spans="2:25" ht="15" hidden="1" customHeight="1">
      <c r="B68" s="133"/>
      <c r="C68" s="133"/>
      <c r="D68" s="133"/>
      <c r="E68" s="133"/>
      <c r="F68" s="133"/>
      <c r="G68" s="133"/>
      <c r="H68" s="133"/>
      <c r="I68" s="133"/>
      <c r="J68" s="133"/>
      <c r="K68" s="175"/>
      <c r="L68" s="133"/>
      <c r="M68" s="133"/>
      <c r="N68" s="133"/>
      <c r="O68" s="133"/>
      <c r="Q68" s="31"/>
      <c r="R68" s="35"/>
      <c r="S68" s="35"/>
      <c r="T68" s="35"/>
      <c r="U68" s="35"/>
      <c r="V68" s="35"/>
      <c r="W68" s="35"/>
      <c r="X68" s="35"/>
      <c r="Y68" s="35"/>
    </row>
    <row r="69" spans="2:25" ht="15" hidden="1" customHeight="1">
      <c r="B69" s="133"/>
      <c r="C69" s="133"/>
      <c r="D69" s="133"/>
      <c r="E69" s="133"/>
      <c r="F69" s="133"/>
      <c r="G69" s="133"/>
      <c r="H69" s="133"/>
      <c r="I69" s="133"/>
      <c r="J69" s="133"/>
      <c r="K69" s="175"/>
      <c r="L69" s="133"/>
      <c r="M69" s="133"/>
      <c r="N69" s="133"/>
      <c r="O69" s="133"/>
      <c r="Q69" s="31"/>
      <c r="R69" s="35"/>
      <c r="S69" s="35"/>
      <c r="T69" s="35"/>
      <c r="U69" s="35"/>
      <c r="V69" s="35"/>
      <c r="W69" s="35"/>
      <c r="X69" s="35"/>
      <c r="Y69" s="35"/>
    </row>
    <row r="70" spans="2:25" ht="15" hidden="1" customHeight="1">
      <c r="B70" s="133"/>
      <c r="C70" s="133"/>
      <c r="D70" s="133"/>
      <c r="E70" s="133"/>
      <c r="F70" s="133"/>
      <c r="G70" s="133"/>
      <c r="H70" s="133"/>
      <c r="I70" s="133"/>
      <c r="J70" s="133"/>
      <c r="K70" s="175"/>
      <c r="L70" s="133"/>
      <c r="M70" s="133"/>
      <c r="N70" s="133"/>
      <c r="O70" s="133"/>
      <c r="Q70" s="31"/>
      <c r="R70" s="35"/>
      <c r="S70" s="35"/>
      <c r="T70" s="35"/>
      <c r="U70" s="35"/>
      <c r="V70" s="35"/>
      <c r="W70" s="35"/>
      <c r="X70" s="35"/>
      <c r="Y70" s="35"/>
    </row>
    <row r="71" spans="2:25" ht="15" hidden="1" customHeight="1">
      <c r="B71" s="133"/>
      <c r="C71" s="133"/>
      <c r="D71" s="133"/>
      <c r="E71" s="133"/>
      <c r="F71" s="133"/>
      <c r="G71" s="133"/>
      <c r="H71" s="133"/>
      <c r="I71" s="133"/>
      <c r="J71" s="133"/>
      <c r="K71" s="175"/>
      <c r="L71" s="133"/>
      <c r="M71" s="133"/>
      <c r="N71" s="133"/>
      <c r="O71" s="133"/>
      <c r="Q71" s="31"/>
      <c r="R71" s="35"/>
      <c r="S71" s="35"/>
      <c r="T71" s="35"/>
      <c r="U71" s="35"/>
      <c r="V71" s="35"/>
      <c r="W71" s="35"/>
      <c r="X71" s="35"/>
      <c r="Y71" s="35"/>
    </row>
    <row r="72" spans="2:25" ht="15" hidden="1" customHeight="1">
      <c r="B72" s="133"/>
      <c r="C72" s="133"/>
      <c r="D72" s="133"/>
      <c r="E72" s="133"/>
      <c r="F72" s="133"/>
      <c r="G72" s="133"/>
      <c r="H72" s="133"/>
      <c r="I72" s="133"/>
      <c r="J72" s="133"/>
      <c r="K72" s="175"/>
      <c r="L72" s="133"/>
      <c r="M72" s="133"/>
      <c r="N72" s="133"/>
      <c r="O72" s="133"/>
      <c r="Q72" s="31"/>
      <c r="R72" s="35"/>
      <c r="S72" s="35"/>
      <c r="T72" s="35"/>
      <c r="U72" s="35"/>
      <c r="V72" s="35"/>
      <c r="W72" s="35"/>
      <c r="X72" s="35"/>
      <c r="Y72" s="35"/>
    </row>
    <row r="73" spans="2:25" ht="15" hidden="1" customHeight="1">
      <c r="B73" s="133"/>
      <c r="C73" s="133"/>
      <c r="D73" s="133"/>
      <c r="E73" s="133"/>
      <c r="F73" s="133"/>
      <c r="G73" s="133"/>
      <c r="H73" s="133"/>
      <c r="I73" s="133"/>
      <c r="J73" s="133"/>
      <c r="K73" s="175"/>
      <c r="L73" s="133"/>
      <c r="M73" s="133"/>
      <c r="N73" s="133"/>
      <c r="O73" s="133"/>
      <c r="Q73" s="31"/>
      <c r="R73" s="35"/>
      <c r="S73" s="35"/>
      <c r="T73" s="35"/>
      <c r="U73" s="35"/>
      <c r="V73" s="35"/>
      <c r="W73" s="35"/>
      <c r="X73" s="35"/>
      <c r="Y73" s="35"/>
    </row>
    <row r="74" spans="2:25" ht="15.5" hidden="1">
      <c r="B74" s="133"/>
      <c r="C74" s="133"/>
      <c r="D74" s="133"/>
      <c r="E74" s="133"/>
      <c r="F74" s="133"/>
      <c r="G74" s="133"/>
      <c r="H74" s="133"/>
      <c r="I74" s="133"/>
      <c r="J74" s="133"/>
      <c r="K74" s="175"/>
      <c r="L74" s="133"/>
      <c r="M74" s="133"/>
      <c r="N74" s="133"/>
      <c r="O74" s="133"/>
    </row>
    <row r="75" spans="2:25" ht="15.5" hidden="1">
      <c r="B75" s="21"/>
      <c r="C75" s="21"/>
      <c r="D75" s="21"/>
      <c r="E75" s="21"/>
      <c r="F75" s="21"/>
      <c r="G75" s="21"/>
      <c r="H75" s="21"/>
      <c r="I75" s="21"/>
      <c r="J75" s="21"/>
      <c r="K75" s="176"/>
      <c r="L75" s="21"/>
      <c r="M75" s="21"/>
      <c r="N75" s="21"/>
      <c r="O75" s="21"/>
    </row>
  </sheetData>
  <sheetProtection sheet="1" objects="1" scenarios="1" selectLockedCells="1"/>
  <mergeCells count="44">
    <mergeCell ref="E9:I9"/>
    <mergeCell ref="B41:C41"/>
    <mergeCell ref="E41:I41"/>
    <mergeCell ref="R41:Y41"/>
    <mergeCell ref="E33:I33"/>
    <mergeCell ref="B36:O36"/>
    <mergeCell ref="B37:C37"/>
    <mergeCell ref="E37:I37"/>
    <mergeCell ref="R37:Y37"/>
    <mergeCell ref="B38:C38"/>
    <mergeCell ref="E38:I38"/>
    <mergeCell ref="B39:C39"/>
    <mergeCell ref="E39:I39"/>
    <mergeCell ref="B40:C40"/>
    <mergeCell ref="E40:I40"/>
    <mergeCell ref="R40:Y40"/>
    <mergeCell ref="B42:C42"/>
    <mergeCell ref="E42:I42"/>
    <mergeCell ref="R42:Y42"/>
    <mergeCell ref="B45:C45"/>
    <mergeCell ref="E45:I45"/>
    <mergeCell ref="R45:Y45"/>
    <mergeCell ref="B46:C46"/>
    <mergeCell ref="E46:I46"/>
    <mergeCell ref="B47:C47"/>
    <mergeCell ref="E47:I47"/>
    <mergeCell ref="B48:C48"/>
    <mergeCell ref="E48:I48"/>
    <mergeCell ref="R48:Y48"/>
    <mergeCell ref="B49:C49"/>
    <mergeCell ref="E49:I49"/>
    <mergeCell ref="R49:Y49"/>
    <mergeCell ref="B50:C50"/>
    <mergeCell ref="E50:I50"/>
    <mergeCell ref="R50:Y50"/>
    <mergeCell ref="B19:C19"/>
    <mergeCell ref="K19:M19"/>
    <mergeCell ref="B27:C27"/>
    <mergeCell ref="B11:C11"/>
    <mergeCell ref="I11:J11"/>
    <mergeCell ref="K11:M11"/>
    <mergeCell ref="K15:M15"/>
    <mergeCell ref="K16:M16"/>
    <mergeCell ref="K13:M13"/>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7" id="{65F81D21-77BF-4E01-9C67-F6A4F5EC3AB2}">
            <xm:f>'0-Home'!$L$1="Currency: USD"</xm:f>
            <x14:dxf>
              <numFmt numFmtId="171" formatCode="&quot;$&quot;#,##0"/>
            </x14:dxf>
          </x14:cfRule>
          <x14:cfRule type="expression" priority="38" id="{8FBF63BF-3ED8-4693-AE93-75C7FBCF9F43}">
            <xm:f>'0-Home'!$L$1="Currency: EUR"</xm:f>
            <x14:dxf>
              <numFmt numFmtId="170" formatCode="#,##0\ [$€-1]"/>
            </x14:dxf>
          </x14:cfRule>
          <xm:sqref>E19</xm:sqref>
        </x14:conditionalFormatting>
        <x14:conditionalFormatting xmlns:xm="http://schemas.microsoft.com/office/excel/2006/main">
          <x14:cfRule type="expression" priority="35" id="{2B75B81D-A931-4EC1-917A-C106E990E3EC}">
            <xm:f>'0-Home'!$L$1="Currency: USD"</xm:f>
            <x14:dxf>
              <numFmt numFmtId="171" formatCode="&quot;$&quot;#,##0"/>
            </x14:dxf>
          </x14:cfRule>
          <x14:cfRule type="expression" priority="36" id="{2BC84810-13FF-4E09-989D-DEE13D556013}">
            <xm:f>'0-Home'!$L$1="Currency: EUR"</xm:f>
            <x14:dxf>
              <numFmt numFmtId="170" formatCode="#,##0\ [$€-1]"/>
            </x14:dxf>
          </x14:cfRule>
          <xm:sqref>E21</xm:sqref>
        </x14:conditionalFormatting>
        <x14:conditionalFormatting xmlns:xm="http://schemas.microsoft.com/office/excel/2006/main">
          <x14:cfRule type="expression" priority="31" id="{31AD9CA8-ABB8-49A6-8420-4DBC7D29CD45}">
            <xm:f>'0-Home'!$L$1="Currency: EUR"</xm:f>
            <x14:dxf>
              <numFmt numFmtId="170" formatCode="#,##0\ [$€-1]"/>
            </x14:dxf>
          </x14:cfRule>
          <x14:cfRule type="expression" priority="32" id="{A620F67B-E771-4D55-B75C-A4EEAC09A8AC}">
            <xm:f>'0-Home'!$L$1="Currency: USD"</xm:f>
            <x14:dxf>
              <numFmt numFmtId="171" formatCode="&quot;$&quot;#,##0"/>
            </x14:dxf>
          </x14:cfRule>
          <xm:sqref>K11:M11</xm:sqref>
        </x14:conditionalFormatting>
        <x14:conditionalFormatting xmlns:xm="http://schemas.microsoft.com/office/excel/2006/main">
          <x14:cfRule type="expression" priority="29" id="{FEB836B2-6955-4E2E-A581-1509C58FA624}">
            <xm:f>'0-Home'!$L$1="Currency: EUR"</xm:f>
            <x14:dxf>
              <numFmt numFmtId="170" formatCode="#,##0\ [$€-1]"/>
            </x14:dxf>
          </x14:cfRule>
          <x14:cfRule type="expression" priority="30" id="{9779DD37-7F2B-483A-9FB6-CB51F760178F}">
            <xm:f>'0-Home'!$L$1="Currency: USD"</xm:f>
            <x14:dxf>
              <numFmt numFmtId="171" formatCode="&quot;$&quot;#,##0"/>
            </x14:dxf>
          </x14:cfRule>
          <xm:sqref>K13:M13</xm:sqref>
        </x14:conditionalFormatting>
        <x14:conditionalFormatting xmlns:xm="http://schemas.microsoft.com/office/excel/2006/main">
          <x14:cfRule type="expression" priority="27" id="{44B5FA5F-6116-4F8D-A49A-ABAB72938543}">
            <xm:f>'0-Home'!$L$1="Currency: EUR"</xm:f>
            <x14:dxf>
              <numFmt numFmtId="170" formatCode="#,##0\ [$€-1]"/>
            </x14:dxf>
          </x14:cfRule>
          <x14:cfRule type="expression" priority="28" id="{ED6AB579-C838-46F2-9253-973B9D8AE63F}">
            <xm:f>'0-Home'!$L$1="Currency: USD"</xm:f>
            <x14:dxf>
              <numFmt numFmtId="171" formatCode="&quot;$&quot;#,##0"/>
            </x14:dxf>
          </x14:cfRule>
          <xm:sqref>K15:M15</xm:sqref>
        </x14:conditionalFormatting>
        <x14:conditionalFormatting xmlns:xm="http://schemas.microsoft.com/office/excel/2006/main">
          <x14:cfRule type="expression" priority="23" id="{28A921C3-210D-4A4D-B944-C3517EEC4B6A}">
            <xm:f>'0-Home'!$L$1="Currency: EUR"</xm:f>
            <x14:dxf>
              <numFmt numFmtId="170" formatCode="#,##0\ [$€-1]"/>
            </x14:dxf>
          </x14:cfRule>
          <x14:cfRule type="expression" priority="24" id="{A8C4495C-5EA3-4D1E-90A1-E395D6AF0AB3}">
            <xm:f>'0-Home'!$L$1="Currency: USD"</xm:f>
            <x14:dxf>
              <numFmt numFmtId="171" formatCode="&quot;$&quot;#,##0"/>
            </x14:dxf>
          </x14:cfRule>
          <xm:sqref>I19</xm:sqref>
        </x14:conditionalFormatting>
        <x14:conditionalFormatting xmlns:xm="http://schemas.microsoft.com/office/excel/2006/main">
          <x14:cfRule type="expression" priority="21" id="{1CE94B1A-AA37-4C99-8E86-6A2B4D0402B7}">
            <xm:f>'0-Home'!$L$1="Currency: EUR"</xm:f>
            <x14:dxf>
              <numFmt numFmtId="170" formatCode="#,##0\ [$€-1]"/>
            </x14:dxf>
          </x14:cfRule>
          <x14:cfRule type="expression" priority="22" id="{61856A46-45DE-4B97-B50F-10032A517A34}">
            <xm:f>'0-Home'!$L$1="Currency: USD"</xm:f>
            <x14:dxf>
              <numFmt numFmtId="171" formatCode="&quot;$&quot;#,##0"/>
            </x14:dxf>
          </x14:cfRule>
          <xm:sqref>I21</xm:sqref>
        </x14:conditionalFormatting>
        <x14:conditionalFormatting xmlns:xm="http://schemas.microsoft.com/office/excel/2006/main">
          <x14:cfRule type="expression" priority="19" id="{98D07125-1CC0-496E-98C2-ABE61A18020B}">
            <xm:f>'0-Home'!$L$1="Currency: EUR"</xm:f>
            <x14:dxf>
              <numFmt numFmtId="170" formatCode="#,##0\ [$€-1]"/>
            </x14:dxf>
          </x14:cfRule>
          <x14:cfRule type="expression" priority="20" id="{B1FF56D7-B466-498A-8BDA-CD792D54F695}">
            <xm:f>'0-Home'!$L$1="Currency: USD"</xm:f>
            <x14:dxf>
              <numFmt numFmtId="171" formatCode="&quot;$&quot;#,##0"/>
            </x14:dxf>
          </x14:cfRule>
          <xm:sqref>N19</xm:sqref>
        </x14:conditionalFormatting>
        <x14:conditionalFormatting xmlns:xm="http://schemas.microsoft.com/office/excel/2006/main">
          <x14:cfRule type="expression" priority="17" id="{BD532189-F0D9-458C-A703-9A10C2A0B97B}">
            <xm:f>'0-Home'!$L$1="Currency: EUR"</xm:f>
            <x14:dxf>
              <numFmt numFmtId="170" formatCode="#,##0\ [$€-1]"/>
            </x14:dxf>
          </x14:cfRule>
          <x14:cfRule type="expression" priority="18" id="{724B91CE-5B92-429E-8A2D-AC14CDD18B94}">
            <xm:f>'0-Home'!$L$1="Currency: USD"</xm:f>
            <x14:dxf>
              <numFmt numFmtId="171" formatCode="&quot;$&quot;#,##0"/>
            </x14:dxf>
          </x14:cfRule>
          <xm:sqref>N21</xm:sqref>
        </x14:conditionalFormatting>
        <x14:conditionalFormatting xmlns:xm="http://schemas.microsoft.com/office/excel/2006/main">
          <x14:cfRule type="expression" priority="13" id="{5437DB45-44A5-46CE-AFFA-7A5A4F3F6126}">
            <xm:f>'0-Home'!$L$1="Currency: EUR"</xm:f>
            <x14:dxf>
              <numFmt numFmtId="170" formatCode="#,##0\ [$€-1]"/>
            </x14:dxf>
          </x14:cfRule>
          <x14:cfRule type="expression" priority="14" id="{C4B5D8FC-5813-457F-A26A-113A2A02CAC1}">
            <xm:f>'0-Home'!$L$1="Currency: USD"</xm:f>
            <x14:dxf>
              <numFmt numFmtId="171" formatCode="&quot;$&quot;#,##0"/>
            </x14:dxf>
          </x14:cfRule>
          <xm:sqref>E11</xm:sqref>
        </x14:conditionalFormatting>
        <x14:conditionalFormatting xmlns:xm="http://schemas.microsoft.com/office/excel/2006/main">
          <x14:cfRule type="expression" priority="11" id="{3C05E3BC-6314-4B38-9318-27B8AE5A7820}">
            <xm:f>'0-Home'!$L$1="Currency: EUR"</xm:f>
            <x14:dxf>
              <numFmt numFmtId="170" formatCode="#,##0\ [$€-1]"/>
            </x14:dxf>
          </x14:cfRule>
          <x14:cfRule type="expression" priority="12" id="{FA2D9156-0D0F-4999-9E8B-2786560A9E89}">
            <xm:f>'0-Home'!$L$1="Currency: USD"</xm:f>
            <x14:dxf>
              <numFmt numFmtId="171" formatCode="&quot;$&quot;#,##0"/>
            </x14:dxf>
          </x14:cfRule>
          <xm:sqref>E13</xm:sqref>
        </x14:conditionalFormatting>
        <x14:conditionalFormatting xmlns:xm="http://schemas.microsoft.com/office/excel/2006/main">
          <x14:cfRule type="expression" priority="7" id="{5ED19355-3071-424C-873A-7643D87D542F}">
            <xm:f>'0-Home'!$L$1="Currency: USD"</xm:f>
            <x14:dxf>
              <numFmt numFmtId="171" formatCode="&quot;$&quot;#,##0"/>
            </x14:dxf>
          </x14:cfRule>
          <x14:cfRule type="expression" priority="8" id="{6549ADC8-028F-4A0E-9D2E-9B348EF17CD8}">
            <xm:f>'0-Home'!$L$1="Currency: EUR"</xm:f>
            <x14:dxf>
              <numFmt numFmtId="170" formatCode="#,##0\ [$€-1]"/>
            </x14:dxf>
          </x14:cfRule>
          <xm:sqref>E15</xm:sqref>
        </x14:conditionalFormatting>
        <x14:conditionalFormatting xmlns:xm="http://schemas.microsoft.com/office/excel/2006/main">
          <x14:cfRule type="expression" priority="5" id="{F41E2147-AA6C-41CE-8699-0C07B58C2771}">
            <xm:f>'0-Home'!$L$1="Currency: USD"</xm:f>
            <x14:dxf>
              <numFmt numFmtId="171" formatCode="&quot;$&quot;#,##0"/>
            </x14:dxf>
          </x14:cfRule>
          <x14:cfRule type="expression" priority="6" id="{09F1FF03-7B74-43AC-B3D7-EBFCE4586B74}">
            <xm:f>'0-Home'!$L$1="Currency: EUR"</xm:f>
            <x14:dxf>
              <numFmt numFmtId="170" formatCode="#,##0\ [$€-1]"/>
            </x14:dxf>
          </x14:cfRule>
          <xm:sqref>E23</xm:sqref>
        </x14:conditionalFormatting>
        <x14:conditionalFormatting xmlns:xm="http://schemas.microsoft.com/office/excel/2006/main">
          <x14:cfRule type="expression" priority="3" id="{4B585D7B-1885-4D5E-807B-70C49C83CDDA}">
            <xm:f>'0-Home'!$L$1="Currency: USD"</xm:f>
            <x14:dxf>
              <numFmt numFmtId="171" formatCode="&quot;$&quot;#,##0"/>
            </x14:dxf>
          </x14:cfRule>
          <x14:cfRule type="expression" priority="4" id="{57A5614A-717A-418C-8B82-5650B0C8BD13}">
            <xm:f>'0-Home'!$L$1="Currency: EUR"</xm:f>
            <x14:dxf>
              <numFmt numFmtId="170" formatCode="#,##0\ [$€-1]"/>
            </x14:dxf>
          </x14:cfRule>
          <xm:sqref>I23</xm:sqref>
        </x14:conditionalFormatting>
        <x14:conditionalFormatting xmlns:xm="http://schemas.microsoft.com/office/excel/2006/main">
          <x14:cfRule type="expression" priority="1" id="{7D5B7343-039E-4EB9-A7A4-B2FC165336CB}">
            <xm:f>'0-Home'!$L$1="Currency: USD"</xm:f>
            <x14:dxf>
              <numFmt numFmtId="171" formatCode="&quot;$&quot;#,##0"/>
            </x14:dxf>
          </x14:cfRule>
          <x14:cfRule type="expression" priority="2" id="{1B292996-E441-4E81-A62A-5543F99AF52B}">
            <xm:f>'0-Home'!$L$1="Currency: EUR"</xm:f>
            <x14:dxf>
              <numFmt numFmtId="170" formatCode="#,##0\ [$€-1]"/>
            </x14:dxf>
          </x14:cfRule>
          <xm:sqref>N23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37D4-67AB-4050-9872-CFD5A2011B62}">
  <sheetPr>
    <tabColor theme="0" tint="-0.499984740745262"/>
  </sheetPr>
  <dimension ref="A1:Z81"/>
  <sheetViews>
    <sheetView showGridLines="0" showRowColHeaders="0" zoomScale="80" zoomScaleNormal="80" workbookViewId="0">
      <pane ySplit="7" topLeftCell="A8" activePane="bottomLeft" state="frozen"/>
      <selection pane="bottomLeft" activeCell="J12" activeCellId="1" sqref="C12:H12 J12:O12"/>
    </sheetView>
  </sheetViews>
  <sheetFormatPr baseColWidth="10" defaultColWidth="0" defaultRowHeight="12.75" customHeight="1" zeroHeight="1"/>
  <cols>
    <col min="1" max="1" width="5.81640625" style="18" customWidth="1"/>
    <col min="2" max="2" width="13" style="18" customWidth="1"/>
    <col min="3" max="3" width="7.1796875" style="18" customWidth="1"/>
    <col min="4" max="4" width="12.81640625" style="18" customWidth="1"/>
    <col min="5" max="5" width="13" style="18" customWidth="1"/>
    <col min="6" max="6" width="27.1796875" style="18" customWidth="1"/>
    <col min="7" max="7" width="22" style="18" customWidth="1"/>
    <col min="8" max="8" width="8.453125" style="18" customWidth="1"/>
    <col min="9" max="9" width="4.453125" style="18" customWidth="1"/>
    <col min="10" max="10" width="21.1796875" style="18" customWidth="1"/>
    <col min="11" max="11" width="13" style="157" customWidth="1"/>
    <col min="12" max="12" width="2.81640625" style="18" customWidth="1"/>
    <col min="13" max="13" width="10.1796875" style="18" customWidth="1"/>
    <col min="14" max="14" width="23.1796875" style="18" customWidth="1"/>
    <col min="15" max="15" width="28.54296875" style="18" customWidth="1"/>
    <col min="16" max="19" width="9.1796875" style="18" customWidth="1"/>
    <col min="20" max="20" width="2.1796875" style="18" customWidth="1"/>
    <col min="21" max="23" width="0" style="18" hidden="1" customWidth="1"/>
    <col min="24" max="16384" width="9.1796875" style="18" hidden="1"/>
  </cols>
  <sheetData>
    <row r="1" spans="2:16" ht="48" customHeight="1"/>
    <row r="2" spans="2:16" ht="15.5">
      <c r="B2" s="19"/>
      <c r="C2" s="19"/>
      <c r="D2" s="19"/>
      <c r="E2" s="19"/>
      <c r="F2" s="19"/>
      <c r="G2" s="19"/>
      <c r="H2" s="19"/>
      <c r="I2" s="19"/>
      <c r="J2" s="19"/>
      <c r="K2" s="158"/>
      <c r="L2" s="19"/>
      <c r="M2" s="19"/>
      <c r="N2" s="19"/>
      <c r="O2" s="19"/>
      <c r="P2" s="19"/>
    </row>
    <row r="3" spans="2:16" ht="15.5">
      <c r="B3" s="19"/>
      <c r="C3" s="19"/>
      <c r="D3" s="19"/>
      <c r="E3" s="19"/>
      <c r="F3" s="19"/>
      <c r="G3" s="19"/>
      <c r="H3" s="19"/>
      <c r="I3" s="19"/>
      <c r="J3" s="19"/>
      <c r="K3" s="158"/>
      <c r="L3" s="19"/>
      <c r="M3" s="19"/>
      <c r="N3" s="19"/>
      <c r="O3" s="19"/>
      <c r="P3" s="19"/>
    </row>
    <row r="4" spans="2:16" ht="15.5">
      <c r="B4" s="19"/>
      <c r="C4" s="19"/>
      <c r="D4" s="19"/>
      <c r="E4" s="19"/>
      <c r="F4" s="19"/>
      <c r="G4" s="19"/>
      <c r="H4" s="19"/>
      <c r="I4" s="19"/>
      <c r="J4" s="19"/>
      <c r="K4" s="158"/>
      <c r="L4" s="19"/>
      <c r="M4" s="19"/>
      <c r="N4" s="19"/>
      <c r="O4" s="19"/>
      <c r="P4" s="19"/>
    </row>
    <row r="5" spans="2:16" ht="15.5">
      <c r="B5" s="19"/>
      <c r="C5" s="19"/>
      <c r="D5" s="19"/>
      <c r="E5" s="19"/>
      <c r="F5" s="19"/>
      <c r="G5" s="19"/>
      <c r="H5" s="19"/>
      <c r="I5" s="19"/>
      <c r="J5" s="19"/>
      <c r="K5" s="158"/>
      <c r="L5" s="19"/>
      <c r="M5" s="19"/>
      <c r="N5" s="19"/>
      <c r="O5" s="19"/>
      <c r="P5" s="19"/>
    </row>
    <row r="6" spans="2:16" ht="15.5">
      <c r="B6" s="19"/>
      <c r="C6" s="19"/>
      <c r="D6" s="19"/>
      <c r="E6" s="19"/>
      <c r="F6" s="19"/>
      <c r="G6" s="19"/>
      <c r="H6" s="19"/>
      <c r="I6" s="19"/>
      <c r="J6" s="19"/>
      <c r="K6" s="158"/>
      <c r="L6" s="19"/>
      <c r="M6" s="19"/>
      <c r="N6" s="19"/>
      <c r="O6" s="19"/>
      <c r="P6" s="19"/>
    </row>
    <row r="7" spans="2:16" ht="15.5">
      <c r="B7" s="19"/>
      <c r="C7" s="19"/>
      <c r="D7" s="19"/>
      <c r="E7" s="19"/>
      <c r="F7" s="19"/>
      <c r="G7" s="19"/>
      <c r="H7" s="19"/>
      <c r="I7" s="19"/>
      <c r="J7" s="19"/>
      <c r="K7" s="158"/>
      <c r="L7" s="19"/>
      <c r="M7" s="19"/>
      <c r="N7" s="19"/>
      <c r="O7" s="19"/>
      <c r="P7" s="19"/>
    </row>
    <row r="8" spans="2:16" ht="15.5">
      <c r="B8" s="25"/>
      <c r="C8" s="25"/>
      <c r="D8" s="25"/>
      <c r="E8" s="25"/>
      <c r="F8" s="25"/>
      <c r="G8" s="25"/>
      <c r="H8" s="25"/>
      <c r="I8" s="25"/>
      <c r="J8" s="25"/>
      <c r="K8" s="159"/>
      <c r="L8" s="25"/>
      <c r="M8" s="25"/>
      <c r="N8" s="25"/>
      <c r="O8" s="25"/>
      <c r="P8" s="25"/>
    </row>
    <row r="9" spans="2:16" ht="4.5" customHeight="1">
      <c r="B9" s="160"/>
      <c r="C9" s="160"/>
      <c r="D9" s="25"/>
      <c r="E9" s="337"/>
      <c r="F9" s="337"/>
      <c r="G9" s="337"/>
      <c r="H9" s="337"/>
      <c r="I9" s="337"/>
      <c r="J9" s="25"/>
      <c r="K9" s="161"/>
      <c r="L9" s="160"/>
      <c r="M9" s="160"/>
      <c r="N9" s="32"/>
      <c r="O9" s="25"/>
      <c r="P9" s="25"/>
    </row>
    <row r="10" spans="2:16" ht="6.75" customHeight="1">
      <c r="B10" s="25"/>
      <c r="C10" s="25"/>
      <c r="D10" s="25"/>
      <c r="E10" s="55"/>
      <c r="F10" s="25"/>
      <c r="G10" s="55"/>
      <c r="H10" s="55"/>
      <c r="I10" s="48"/>
      <c r="J10" s="48"/>
      <c r="K10" s="162"/>
      <c r="L10" s="163"/>
      <c r="M10" s="163"/>
      <c r="N10" s="24"/>
      <c r="O10" s="24"/>
      <c r="P10" s="25"/>
    </row>
    <row r="11" spans="2:16" ht="30" customHeight="1">
      <c r="B11" s="188"/>
      <c r="C11" s="188"/>
      <c r="D11" s="45"/>
      <c r="E11" s="189"/>
      <c r="F11" s="190"/>
      <c r="G11" s="190"/>
      <c r="H11" s="190"/>
      <c r="I11" s="188"/>
      <c r="J11" s="188"/>
      <c r="K11" s="72"/>
      <c r="L11" s="72"/>
      <c r="M11" s="72"/>
      <c r="N11" s="72"/>
      <c r="O11" s="58"/>
      <c r="P11" s="25"/>
    </row>
    <row r="12" spans="2:16" ht="21" customHeight="1">
      <c r="B12" s="188"/>
      <c r="C12" s="344" t="s">
        <v>331</v>
      </c>
      <c r="D12" s="345"/>
      <c r="E12" s="345"/>
      <c r="F12" s="345"/>
      <c r="G12" s="345"/>
      <c r="H12" s="345"/>
      <c r="I12" s="191"/>
      <c r="J12" s="344" t="s">
        <v>241</v>
      </c>
      <c r="K12" s="345"/>
      <c r="L12" s="345"/>
      <c r="M12" s="345"/>
      <c r="N12" s="345"/>
      <c r="O12" s="345"/>
      <c r="P12" s="25"/>
    </row>
    <row r="13" spans="2:16" ht="75" customHeight="1">
      <c r="B13" s="188"/>
      <c r="C13" s="346" t="s">
        <v>327</v>
      </c>
      <c r="D13" s="347"/>
      <c r="E13" s="347"/>
      <c r="F13" s="347"/>
      <c r="G13" s="347"/>
      <c r="H13" s="347"/>
      <c r="I13" s="191"/>
      <c r="J13" s="346" t="s">
        <v>328</v>
      </c>
      <c r="K13" s="347"/>
      <c r="L13" s="347"/>
      <c r="M13" s="347"/>
      <c r="N13" s="347"/>
      <c r="O13" s="347"/>
      <c r="P13" s="25"/>
    </row>
    <row r="14" spans="2:16" ht="113.25" customHeight="1">
      <c r="B14" s="188"/>
      <c r="C14" s="354" t="s">
        <v>326</v>
      </c>
      <c r="D14" s="355"/>
      <c r="E14" s="355"/>
      <c r="F14" s="355"/>
      <c r="G14" s="355"/>
      <c r="H14" s="355"/>
      <c r="I14" s="191"/>
      <c r="J14" s="348" t="s">
        <v>329</v>
      </c>
      <c r="K14" s="347"/>
      <c r="L14" s="347"/>
      <c r="M14" s="347"/>
      <c r="N14" s="347"/>
      <c r="O14" s="347"/>
      <c r="P14" s="25"/>
    </row>
    <row r="15" spans="2:16" ht="86.25" customHeight="1">
      <c r="B15" s="188"/>
      <c r="C15" s="354" t="s">
        <v>330</v>
      </c>
      <c r="D15" s="355"/>
      <c r="E15" s="355"/>
      <c r="F15" s="355"/>
      <c r="G15" s="355"/>
      <c r="H15" s="355"/>
      <c r="I15" s="191"/>
      <c r="J15" s="192"/>
      <c r="K15" s="192"/>
      <c r="L15" s="192"/>
      <c r="M15" s="192"/>
      <c r="N15" s="192"/>
      <c r="O15" s="192"/>
      <c r="P15" s="25"/>
    </row>
    <row r="16" spans="2:16" ht="15.5">
      <c r="B16" s="188"/>
      <c r="C16" s="193"/>
      <c r="D16" s="194"/>
      <c r="E16" s="194"/>
      <c r="F16" s="194"/>
      <c r="G16" s="194"/>
      <c r="H16" s="195"/>
      <c r="I16" s="191"/>
      <c r="J16" s="196"/>
      <c r="K16" s="196"/>
      <c r="L16" s="196"/>
      <c r="M16" s="196"/>
      <c r="N16" s="196"/>
      <c r="O16" s="196"/>
      <c r="P16" s="25"/>
    </row>
    <row r="17" spans="2:26" ht="19.5" customHeight="1">
      <c r="B17" s="188"/>
      <c r="C17" s="57"/>
      <c r="D17" s="194"/>
      <c r="E17" s="197"/>
      <c r="F17" s="349" t="s">
        <v>232</v>
      </c>
      <c r="G17" s="349"/>
      <c r="H17" s="195"/>
      <c r="I17" s="191"/>
      <c r="J17" s="196"/>
      <c r="K17" s="196"/>
      <c r="L17" s="196"/>
      <c r="M17" s="196"/>
      <c r="N17" s="196"/>
      <c r="O17" s="196"/>
      <c r="P17" s="25"/>
    </row>
    <row r="18" spans="2:26" ht="15.5">
      <c r="B18" s="188"/>
      <c r="C18" s="57"/>
      <c r="D18" s="197"/>
      <c r="E18" s="197"/>
      <c r="F18" s="198" t="s">
        <v>233</v>
      </c>
      <c r="G18" s="198" t="s">
        <v>234</v>
      </c>
      <c r="H18" s="195"/>
      <c r="I18" s="191"/>
      <c r="J18" s="196"/>
      <c r="K18" s="196"/>
      <c r="L18" s="196"/>
      <c r="M18" s="196"/>
      <c r="N18" s="196"/>
      <c r="O18" s="196"/>
      <c r="P18" s="25"/>
    </row>
    <row r="19" spans="2:26" ht="33" customHeight="1">
      <c r="B19" s="188"/>
      <c r="C19" s="57"/>
      <c r="D19" s="350" t="s">
        <v>235</v>
      </c>
      <c r="E19" s="199" t="s">
        <v>233</v>
      </c>
      <c r="F19" s="200" t="s">
        <v>236</v>
      </c>
      <c r="G19" s="201" t="s">
        <v>237</v>
      </c>
      <c r="H19" s="195"/>
      <c r="I19" s="189"/>
      <c r="J19" s="196"/>
      <c r="K19" s="196"/>
      <c r="L19" s="196"/>
      <c r="M19" s="196"/>
      <c r="N19" s="196"/>
      <c r="O19" s="196"/>
      <c r="P19" s="25"/>
    </row>
    <row r="20" spans="2:26" ht="33" customHeight="1">
      <c r="B20" s="45"/>
      <c r="C20" s="57"/>
      <c r="D20" s="350"/>
      <c r="E20" s="199" t="s">
        <v>234</v>
      </c>
      <c r="F20" s="201" t="s">
        <v>238</v>
      </c>
      <c r="G20" s="200" t="s">
        <v>239</v>
      </c>
      <c r="H20" s="195"/>
      <c r="I20" s="48"/>
      <c r="J20" s="196"/>
      <c r="K20" s="196"/>
      <c r="L20" s="196"/>
      <c r="M20" s="196"/>
      <c r="N20" s="196"/>
      <c r="O20" s="196"/>
      <c r="P20" s="25"/>
    </row>
    <row r="21" spans="2:26" ht="44.25" customHeight="1">
      <c r="B21" s="188"/>
      <c r="C21" s="57"/>
      <c r="D21" s="351" t="s">
        <v>240</v>
      </c>
      <c r="E21" s="352"/>
      <c r="F21" s="352"/>
      <c r="G21" s="352"/>
      <c r="H21" s="195"/>
      <c r="I21" s="189"/>
      <c r="J21" s="196"/>
      <c r="K21" s="196"/>
      <c r="L21" s="196"/>
      <c r="M21" s="196"/>
      <c r="N21" s="196"/>
      <c r="O21" s="196"/>
      <c r="P21" s="25"/>
    </row>
    <row r="22" spans="2:26" ht="16.5" customHeight="1">
      <c r="B22" s="188"/>
      <c r="C22" s="57"/>
      <c r="D22" s="353" t="s">
        <v>261</v>
      </c>
      <c r="E22" s="353"/>
      <c r="F22" s="353"/>
      <c r="G22" s="353"/>
      <c r="H22" s="195"/>
      <c r="I22" s="48"/>
      <c r="J22" s="196"/>
      <c r="K22" s="196"/>
      <c r="L22" s="196"/>
      <c r="M22" s="196"/>
      <c r="N22" s="196"/>
      <c r="O22" s="196"/>
      <c r="P22" s="25"/>
    </row>
    <row r="23" spans="2:26" ht="30" customHeight="1">
      <c r="B23" s="188"/>
      <c r="C23" s="195"/>
      <c r="D23" s="202"/>
      <c r="E23" s="203"/>
      <c r="F23" s="203"/>
      <c r="G23" s="203"/>
      <c r="H23" s="195"/>
      <c r="I23" s="72"/>
      <c r="J23" s="196"/>
      <c r="K23" s="196"/>
      <c r="L23" s="196"/>
      <c r="M23" s="196"/>
      <c r="N23" s="196"/>
      <c r="O23" s="196"/>
      <c r="P23" s="25"/>
    </row>
    <row r="24" spans="2:26" ht="15.5">
      <c r="B24" s="45"/>
      <c r="C24" s="45"/>
      <c r="D24" s="45"/>
      <c r="E24" s="48"/>
      <c r="F24" s="45"/>
      <c r="G24" s="45"/>
      <c r="H24" s="45"/>
      <c r="I24" s="48"/>
      <c r="J24" s="45"/>
      <c r="K24" s="167"/>
      <c r="L24" s="45"/>
      <c r="M24" s="45"/>
      <c r="N24" s="58"/>
      <c r="O24" s="48"/>
      <c r="P24" s="25"/>
    </row>
    <row r="25" spans="2:26" ht="15.75" customHeight="1">
      <c r="B25" s="25"/>
      <c r="C25" s="25"/>
      <c r="D25" s="25"/>
      <c r="E25" s="24"/>
      <c r="F25" s="25"/>
      <c r="G25" s="25"/>
      <c r="H25" s="25"/>
      <c r="I25" s="25"/>
      <c r="J25" s="25"/>
      <c r="K25" s="159"/>
      <c r="L25" s="25"/>
      <c r="M25" s="25"/>
      <c r="N25" s="24"/>
      <c r="O25" s="24"/>
      <c r="P25" s="25"/>
    </row>
    <row r="26" spans="2:26" ht="15.75" customHeight="1">
      <c r="B26" s="25"/>
      <c r="C26" s="61"/>
      <c r="D26" s="25"/>
      <c r="E26" s="25"/>
      <c r="F26" s="25"/>
      <c r="G26" s="54"/>
      <c r="H26" s="119"/>
      <c r="I26" s="119"/>
      <c r="J26" s="119"/>
      <c r="K26" s="170"/>
      <c r="L26" s="119"/>
      <c r="M26" s="119"/>
      <c r="N26" s="121"/>
      <c r="O26" s="121"/>
      <c r="P26" s="25"/>
      <c r="R26" s="28"/>
      <c r="S26" s="35"/>
      <c r="T26" s="35"/>
      <c r="U26" s="35"/>
      <c r="V26" s="35"/>
      <c r="W26" s="35"/>
      <c r="X26" s="35"/>
      <c r="Y26" s="35"/>
      <c r="Z26" s="35"/>
    </row>
    <row r="27" spans="2:26" ht="60" customHeight="1">
      <c r="B27" s="334"/>
      <c r="C27" s="334"/>
      <c r="D27" s="334"/>
      <c r="E27" s="334"/>
      <c r="F27" s="334"/>
      <c r="G27" s="334"/>
      <c r="H27" s="334"/>
      <c r="I27" s="334"/>
      <c r="J27" s="334"/>
      <c r="K27" s="334"/>
      <c r="L27" s="334"/>
      <c r="M27" s="334"/>
      <c r="N27" s="334"/>
      <c r="O27" s="334"/>
      <c r="P27" s="334"/>
      <c r="R27" s="28"/>
      <c r="S27" s="35"/>
      <c r="T27" s="35"/>
      <c r="U27" s="35"/>
      <c r="V27" s="35"/>
      <c r="W27" s="35"/>
      <c r="X27" s="35"/>
      <c r="Y27" s="35"/>
      <c r="Z27" s="35"/>
    </row>
    <row r="28" spans="2:26" ht="22.5" hidden="1" customHeight="1">
      <c r="B28" s="321"/>
      <c r="C28" s="321"/>
      <c r="D28" s="122"/>
      <c r="E28" s="322"/>
      <c r="F28" s="322"/>
      <c r="G28" s="322"/>
      <c r="H28" s="322"/>
      <c r="I28" s="322"/>
      <c r="J28" s="124"/>
      <c r="K28" s="171"/>
      <c r="L28" s="123"/>
      <c r="M28" s="123"/>
      <c r="N28" s="124"/>
      <c r="O28" s="124"/>
      <c r="P28" s="125"/>
      <c r="R28" s="28" t="s">
        <v>25</v>
      </c>
      <c r="S28" s="318" t="s">
        <v>27</v>
      </c>
      <c r="T28" s="318"/>
      <c r="U28" s="318"/>
      <c r="V28" s="318"/>
      <c r="W28" s="318"/>
      <c r="X28" s="318"/>
      <c r="Y28" s="318"/>
      <c r="Z28" s="318"/>
    </row>
    <row r="29" spans="2:26" ht="87.75" hidden="1" customHeight="1">
      <c r="B29" s="319"/>
      <c r="C29" s="319"/>
      <c r="D29" s="126"/>
      <c r="E29" s="320"/>
      <c r="F29" s="320"/>
      <c r="G29" s="320"/>
      <c r="H29" s="320"/>
      <c r="I29" s="320"/>
      <c r="J29" s="153"/>
      <c r="K29" s="172"/>
      <c r="L29" s="123"/>
      <c r="M29" s="123"/>
      <c r="N29" s="127"/>
      <c r="O29" s="127"/>
      <c r="P29" s="122"/>
      <c r="R29" s="28"/>
      <c r="S29" s="35"/>
      <c r="T29" s="35"/>
      <c r="U29" s="35"/>
      <c r="V29" s="35"/>
      <c r="W29" s="35"/>
      <c r="X29" s="35"/>
      <c r="Y29" s="35"/>
      <c r="Z29" s="35"/>
    </row>
    <row r="30" spans="2:26" ht="87" hidden="1" customHeight="1">
      <c r="B30" s="319"/>
      <c r="C30" s="319"/>
      <c r="D30" s="126"/>
      <c r="E30" s="320"/>
      <c r="F30" s="320"/>
      <c r="G30" s="320"/>
      <c r="H30" s="320"/>
      <c r="I30" s="320"/>
      <c r="J30" s="153"/>
      <c r="K30" s="172"/>
      <c r="L30" s="128"/>
      <c r="M30" s="128"/>
      <c r="N30" s="128"/>
      <c r="O30" s="128"/>
      <c r="P30" s="128"/>
      <c r="R30" s="28"/>
      <c r="S30" s="35"/>
      <c r="T30" s="35"/>
      <c r="U30" s="35"/>
      <c r="V30" s="35"/>
      <c r="W30" s="35"/>
      <c r="X30" s="35"/>
      <c r="Y30" s="35"/>
      <c r="Z30" s="35"/>
    </row>
    <row r="31" spans="2:26" ht="71.25" hidden="1" customHeight="1">
      <c r="B31" s="319"/>
      <c r="C31" s="319"/>
      <c r="D31" s="126"/>
      <c r="E31" s="320"/>
      <c r="F31" s="320"/>
      <c r="G31" s="320"/>
      <c r="H31" s="320"/>
      <c r="I31" s="320"/>
      <c r="J31" s="153"/>
      <c r="K31" s="172"/>
      <c r="L31" s="122"/>
      <c r="M31" s="122"/>
      <c r="N31" s="122"/>
      <c r="O31" s="122"/>
      <c r="P31" s="122"/>
      <c r="R31" s="31" t="s">
        <v>21</v>
      </c>
      <c r="S31" s="318" t="s">
        <v>28</v>
      </c>
      <c r="T31" s="318"/>
      <c r="U31" s="318"/>
      <c r="V31" s="318"/>
      <c r="W31" s="318"/>
      <c r="X31" s="318"/>
      <c r="Y31" s="318"/>
      <c r="Z31" s="318"/>
    </row>
    <row r="32" spans="2:26" ht="86.25" hidden="1" customHeight="1">
      <c r="B32" s="319"/>
      <c r="C32" s="319"/>
      <c r="D32" s="126"/>
      <c r="E32" s="320"/>
      <c r="F32" s="320"/>
      <c r="G32" s="320"/>
      <c r="H32" s="320"/>
      <c r="I32" s="320"/>
      <c r="J32" s="153"/>
      <c r="K32" s="172"/>
      <c r="L32" s="122"/>
      <c r="M32" s="122"/>
      <c r="N32" s="122"/>
      <c r="O32" s="122"/>
      <c r="P32" s="122"/>
      <c r="R32" s="31" t="s">
        <v>22</v>
      </c>
      <c r="S32" s="318" t="s">
        <v>262</v>
      </c>
      <c r="T32" s="318"/>
      <c r="U32" s="318"/>
      <c r="V32" s="318"/>
      <c r="W32" s="318"/>
      <c r="X32" s="318"/>
      <c r="Y32" s="318"/>
      <c r="Z32" s="318"/>
    </row>
    <row r="33" spans="2:26" ht="83.25" hidden="1" customHeight="1">
      <c r="B33" s="319"/>
      <c r="C33" s="319"/>
      <c r="D33" s="126"/>
      <c r="E33" s="320"/>
      <c r="F33" s="320"/>
      <c r="G33" s="320"/>
      <c r="H33" s="320"/>
      <c r="I33" s="320"/>
      <c r="J33" s="153"/>
      <c r="K33" s="172"/>
      <c r="L33" s="122"/>
      <c r="M33" s="122"/>
      <c r="N33" s="129"/>
      <c r="O33" s="129"/>
      <c r="P33" s="122"/>
      <c r="R33" s="31" t="s">
        <v>23</v>
      </c>
      <c r="S33" s="318" t="s">
        <v>29</v>
      </c>
      <c r="T33" s="318"/>
      <c r="U33" s="318"/>
      <c r="V33" s="318"/>
      <c r="W33" s="318"/>
      <c r="X33" s="318"/>
      <c r="Y33" s="318"/>
      <c r="Z33" s="318"/>
    </row>
    <row r="34" spans="2:26" ht="45.75" hidden="1" customHeight="1">
      <c r="B34" s="122"/>
      <c r="C34" s="122"/>
      <c r="D34" s="122"/>
      <c r="E34" s="130"/>
      <c r="F34" s="122"/>
      <c r="G34" s="122"/>
      <c r="H34" s="122"/>
      <c r="I34" s="122"/>
      <c r="J34" s="122"/>
      <c r="K34" s="173"/>
      <c r="L34" s="122"/>
      <c r="M34" s="122"/>
      <c r="N34" s="129"/>
      <c r="O34" s="129"/>
      <c r="P34" s="122"/>
      <c r="R34" s="31"/>
      <c r="S34" s="35"/>
      <c r="T34" s="35"/>
      <c r="U34" s="35"/>
      <c r="V34" s="35"/>
      <c r="W34" s="35"/>
      <c r="X34" s="35"/>
      <c r="Y34" s="35"/>
      <c r="Z34" s="35"/>
    </row>
    <row r="35" spans="2:26" ht="15.75" hidden="1" customHeight="1">
      <c r="B35" s="122"/>
      <c r="C35" s="122"/>
      <c r="D35" s="122"/>
      <c r="E35" s="130"/>
      <c r="F35" s="122"/>
      <c r="G35" s="122"/>
      <c r="H35" s="122"/>
      <c r="I35" s="122"/>
      <c r="J35" s="122"/>
      <c r="K35" s="173"/>
      <c r="L35" s="122"/>
      <c r="M35" s="122"/>
      <c r="N35" s="129"/>
      <c r="O35" s="129"/>
      <c r="P35" s="122"/>
      <c r="R35" s="31"/>
      <c r="S35" s="35"/>
      <c r="T35" s="35"/>
      <c r="U35" s="35"/>
      <c r="V35" s="35"/>
      <c r="W35" s="35"/>
      <c r="X35" s="35"/>
      <c r="Y35" s="35"/>
      <c r="Z35" s="35"/>
    </row>
    <row r="36" spans="2:26" ht="22.5" hidden="1" customHeight="1">
      <c r="B36" s="321"/>
      <c r="C36" s="321"/>
      <c r="D36" s="122"/>
      <c r="E36" s="322"/>
      <c r="F36" s="322"/>
      <c r="G36" s="322"/>
      <c r="H36" s="322"/>
      <c r="I36" s="322"/>
      <c r="J36" s="124"/>
      <c r="K36" s="171"/>
      <c r="L36" s="123"/>
      <c r="M36" s="123"/>
      <c r="N36" s="124"/>
      <c r="O36" s="124"/>
      <c r="P36" s="125"/>
      <c r="R36" s="28" t="s">
        <v>25</v>
      </c>
      <c r="S36" s="318" t="s">
        <v>27</v>
      </c>
      <c r="T36" s="318"/>
      <c r="U36" s="318"/>
      <c r="V36" s="318"/>
      <c r="W36" s="318"/>
      <c r="X36" s="318"/>
      <c r="Y36" s="318"/>
      <c r="Z36" s="318"/>
    </row>
    <row r="37" spans="2:26" ht="87.75" hidden="1" customHeight="1">
      <c r="B37" s="319"/>
      <c r="C37" s="319"/>
      <c r="D37" s="126"/>
      <c r="E37" s="320"/>
      <c r="F37" s="320"/>
      <c r="G37" s="320"/>
      <c r="H37" s="320"/>
      <c r="I37" s="320"/>
      <c r="J37" s="153"/>
      <c r="K37" s="172"/>
      <c r="L37" s="123"/>
      <c r="M37" s="123"/>
      <c r="N37" s="127"/>
      <c r="O37" s="127"/>
      <c r="P37" s="122"/>
      <c r="R37" s="28"/>
      <c r="S37" s="35"/>
      <c r="T37" s="35"/>
      <c r="U37" s="35"/>
      <c r="V37" s="35"/>
      <c r="W37" s="35"/>
      <c r="X37" s="35"/>
      <c r="Y37" s="35"/>
      <c r="Z37" s="35"/>
    </row>
    <row r="38" spans="2:26" ht="87" hidden="1" customHeight="1">
      <c r="B38" s="319"/>
      <c r="C38" s="319"/>
      <c r="D38" s="126"/>
      <c r="E38" s="320"/>
      <c r="F38" s="320"/>
      <c r="G38" s="320"/>
      <c r="H38" s="320"/>
      <c r="I38" s="320"/>
      <c r="J38" s="153"/>
      <c r="K38" s="172"/>
      <c r="L38" s="128"/>
      <c r="M38" s="128"/>
      <c r="N38" s="128"/>
      <c r="O38" s="128"/>
      <c r="P38" s="128"/>
      <c r="R38" s="28"/>
      <c r="S38" s="35"/>
      <c r="T38" s="35"/>
      <c r="U38" s="35"/>
      <c r="V38" s="35"/>
      <c r="W38" s="35"/>
      <c r="X38" s="35"/>
      <c r="Y38" s="35"/>
      <c r="Z38" s="35"/>
    </row>
    <row r="39" spans="2:26" ht="71.25" hidden="1" customHeight="1">
      <c r="B39" s="319"/>
      <c r="C39" s="319"/>
      <c r="D39" s="126"/>
      <c r="E39" s="320"/>
      <c r="F39" s="320"/>
      <c r="G39" s="320"/>
      <c r="H39" s="320"/>
      <c r="I39" s="320"/>
      <c r="J39" s="153"/>
      <c r="K39" s="172"/>
      <c r="L39" s="122"/>
      <c r="M39" s="122"/>
      <c r="N39" s="122"/>
      <c r="O39" s="122"/>
      <c r="P39" s="122"/>
      <c r="R39" s="31" t="s">
        <v>21</v>
      </c>
      <c r="S39" s="318" t="s">
        <v>28</v>
      </c>
      <c r="T39" s="318"/>
      <c r="U39" s="318"/>
      <c r="V39" s="318"/>
      <c r="W39" s="318"/>
      <c r="X39" s="318"/>
      <c r="Y39" s="318"/>
      <c r="Z39" s="318"/>
    </row>
    <row r="40" spans="2:26" ht="86.25" hidden="1" customHeight="1">
      <c r="B40" s="319"/>
      <c r="C40" s="319"/>
      <c r="D40" s="126"/>
      <c r="E40" s="320"/>
      <c r="F40" s="320"/>
      <c r="G40" s="320"/>
      <c r="H40" s="320"/>
      <c r="I40" s="320"/>
      <c r="J40" s="153"/>
      <c r="K40" s="172"/>
      <c r="L40" s="122"/>
      <c r="M40" s="122"/>
      <c r="N40" s="122"/>
      <c r="O40" s="122"/>
      <c r="P40" s="122"/>
      <c r="R40" s="31" t="s">
        <v>22</v>
      </c>
      <c r="S40" s="318" t="s">
        <v>262</v>
      </c>
      <c r="T40" s="318"/>
      <c r="U40" s="318"/>
      <c r="V40" s="318"/>
      <c r="W40" s="318"/>
      <c r="X40" s="318"/>
      <c r="Y40" s="318"/>
      <c r="Z40" s="318"/>
    </row>
    <row r="41" spans="2:26" ht="83.25" hidden="1" customHeight="1">
      <c r="B41" s="319"/>
      <c r="C41" s="319"/>
      <c r="D41" s="126"/>
      <c r="E41" s="320"/>
      <c r="F41" s="320"/>
      <c r="G41" s="320"/>
      <c r="H41" s="320"/>
      <c r="I41" s="320"/>
      <c r="J41" s="153"/>
      <c r="K41" s="172"/>
      <c r="L41" s="122"/>
      <c r="M41" s="122"/>
      <c r="N41" s="129"/>
      <c r="O41" s="129"/>
      <c r="P41" s="122"/>
      <c r="R41" s="31" t="s">
        <v>23</v>
      </c>
      <c r="S41" s="318" t="s">
        <v>29</v>
      </c>
      <c r="T41" s="318"/>
      <c r="U41" s="318"/>
      <c r="V41" s="318"/>
      <c r="W41" s="318"/>
      <c r="X41" s="318"/>
      <c r="Y41" s="318"/>
      <c r="Z41" s="318"/>
    </row>
    <row r="42" spans="2:26" ht="15.75" hidden="1" customHeight="1">
      <c r="B42" s="122"/>
      <c r="C42" s="122"/>
      <c r="D42" s="122"/>
      <c r="E42" s="130"/>
      <c r="F42" s="122"/>
      <c r="G42" s="122"/>
      <c r="H42" s="122"/>
      <c r="I42" s="122"/>
      <c r="J42" s="122"/>
      <c r="K42" s="173"/>
      <c r="L42" s="122"/>
      <c r="M42" s="122"/>
      <c r="N42" s="122"/>
      <c r="O42" s="122"/>
      <c r="P42" s="122"/>
      <c r="R42" s="31"/>
      <c r="S42" s="35"/>
      <c r="T42" s="35"/>
      <c r="U42" s="35"/>
      <c r="V42" s="35"/>
      <c r="W42" s="35"/>
      <c r="X42" s="35"/>
      <c r="Y42" s="35"/>
      <c r="Z42" s="35"/>
    </row>
    <row r="43" spans="2:26" ht="15.75" hidden="1" customHeight="1">
      <c r="B43" s="122"/>
      <c r="C43" s="122"/>
      <c r="D43" s="122"/>
      <c r="E43" s="122"/>
      <c r="F43" s="122"/>
      <c r="G43" s="122"/>
      <c r="H43" s="122"/>
      <c r="I43" s="122"/>
      <c r="J43" s="122"/>
      <c r="K43" s="173"/>
      <c r="L43" s="122"/>
      <c r="M43" s="122"/>
      <c r="N43" s="122"/>
      <c r="O43" s="122"/>
      <c r="P43" s="122"/>
      <c r="R43" s="31"/>
      <c r="S43" s="35"/>
      <c r="T43" s="35"/>
      <c r="U43" s="35"/>
      <c r="V43" s="35"/>
      <c r="W43" s="35"/>
      <c r="X43" s="35"/>
      <c r="Y43" s="35"/>
      <c r="Z43" s="35"/>
    </row>
    <row r="44" spans="2:26" ht="15.75" hidden="1" customHeight="1">
      <c r="B44" s="131"/>
      <c r="C44" s="131"/>
      <c r="D44" s="122"/>
      <c r="E44" s="130"/>
      <c r="F44" s="122"/>
      <c r="G44" s="122"/>
      <c r="H44" s="122"/>
      <c r="I44" s="122"/>
      <c r="J44" s="122"/>
      <c r="K44" s="173"/>
      <c r="L44" s="122"/>
      <c r="M44" s="122"/>
      <c r="N44" s="122"/>
      <c r="O44" s="122"/>
      <c r="P44" s="122"/>
      <c r="R44" s="31"/>
      <c r="S44" s="35"/>
      <c r="T44" s="35"/>
      <c r="U44" s="35"/>
      <c r="V44" s="35"/>
      <c r="W44" s="35"/>
      <c r="X44" s="35"/>
      <c r="Y44" s="35"/>
      <c r="Z44" s="35"/>
    </row>
    <row r="45" spans="2:26" ht="15.75" hidden="1" customHeight="1">
      <c r="B45" s="131"/>
      <c r="C45" s="131"/>
      <c r="D45" s="122"/>
      <c r="E45" s="130"/>
      <c r="F45" s="122"/>
      <c r="G45" s="122"/>
      <c r="H45" s="122"/>
      <c r="I45" s="122"/>
      <c r="J45" s="122"/>
      <c r="K45" s="173"/>
      <c r="L45" s="122"/>
      <c r="M45" s="122"/>
      <c r="N45" s="129"/>
      <c r="O45" s="129"/>
      <c r="P45" s="122"/>
      <c r="R45" s="31"/>
      <c r="S45" s="35"/>
      <c r="T45" s="35"/>
      <c r="U45" s="35"/>
      <c r="V45" s="35"/>
      <c r="W45" s="35"/>
      <c r="X45" s="35"/>
      <c r="Y45" s="35"/>
      <c r="Z45" s="35"/>
    </row>
    <row r="46" spans="2:26" ht="15.75" hidden="1" customHeight="1">
      <c r="B46" s="122"/>
      <c r="C46" s="132"/>
      <c r="D46" s="122"/>
      <c r="E46" s="130"/>
      <c r="F46" s="122"/>
      <c r="G46" s="122"/>
      <c r="H46" s="122"/>
      <c r="I46" s="122"/>
      <c r="J46" s="122"/>
      <c r="K46" s="173"/>
      <c r="L46" s="122"/>
      <c r="M46" s="122"/>
      <c r="N46" s="129"/>
      <c r="O46" s="129"/>
      <c r="P46" s="122"/>
      <c r="R46" s="31"/>
      <c r="S46" s="35"/>
      <c r="T46" s="35"/>
      <c r="U46" s="35"/>
      <c r="V46" s="35"/>
      <c r="W46" s="35"/>
      <c r="X46" s="35"/>
      <c r="Y46" s="35"/>
      <c r="Z46" s="35"/>
    </row>
    <row r="47" spans="2:26" ht="48.75" hidden="1" customHeight="1">
      <c r="B47" s="122"/>
      <c r="C47" s="122"/>
      <c r="D47" s="122"/>
      <c r="E47" s="130"/>
      <c r="F47" s="122"/>
      <c r="G47" s="122"/>
      <c r="H47" s="122"/>
      <c r="I47" s="122"/>
      <c r="J47" s="122"/>
      <c r="K47" s="173"/>
      <c r="L47" s="122"/>
      <c r="M47" s="122"/>
      <c r="N47" s="129"/>
      <c r="O47" s="129"/>
      <c r="P47" s="122"/>
      <c r="R47" s="31"/>
      <c r="S47" s="35"/>
      <c r="T47" s="35"/>
      <c r="U47" s="35"/>
      <c r="V47" s="35"/>
      <c r="W47" s="35"/>
      <c r="X47" s="35"/>
      <c r="Y47" s="35"/>
      <c r="Z47" s="35"/>
    </row>
    <row r="48" spans="2:26" ht="15" hidden="1" customHeight="1">
      <c r="B48" s="122"/>
      <c r="C48" s="122"/>
      <c r="D48" s="122"/>
      <c r="E48" s="130"/>
      <c r="F48" s="122"/>
      <c r="G48" s="122"/>
      <c r="H48" s="122"/>
      <c r="I48" s="122"/>
      <c r="J48" s="122"/>
      <c r="K48" s="173"/>
      <c r="L48" s="122"/>
      <c r="M48" s="122"/>
      <c r="N48" s="122"/>
      <c r="O48" s="122"/>
      <c r="P48" s="122"/>
      <c r="R48" s="31"/>
      <c r="S48" s="35"/>
      <c r="T48" s="35"/>
      <c r="U48" s="35"/>
      <c r="V48" s="35"/>
      <c r="W48" s="35"/>
      <c r="X48" s="35"/>
      <c r="Y48" s="35"/>
      <c r="Z48" s="35"/>
    </row>
    <row r="49" spans="2:26" ht="30" hidden="1" customHeight="1">
      <c r="B49" s="122"/>
      <c r="C49" s="122"/>
      <c r="D49" s="122"/>
      <c r="E49" s="122"/>
      <c r="F49" s="122"/>
      <c r="G49" s="122"/>
      <c r="H49" s="122"/>
      <c r="I49" s="122"/>
      <c r="J49" s="122"/>
      <c r="K49" s="173"/>
      <c r="L49" s="122"/>
      <c r="M49" s="122"/>
      <c r="N49" s="122"/>
      <c r="O49" s="122"/>
      <c r="P49" s="122"/>
      <c r="R49" s="31"/>
      <c r="S49" s="35"/>
      <c r="T49" s="35"/>
      <c r="U49" s="35"/>
      <c r="V49" s="35"/>
      <c r="W49" s="35"/>
      <c r="X49" s="35"/>
      <c r="Y49" s="35"/>
      <c r="Z49" s="35"/>
    </row>
    <row r="50" spans="2:26" ht="60" hidden="1" customHeight="1">
      <c r="B50" s="128"/>
      <c r="C50" s="128"/>
      <c r="D50" s="128"/>
      <c r="E50" s="128"/>
      <c r="F50" s="128"/>
      <c r="G50" s="128"/>
      <c r="H50" s="128"/>
      <c r="I50" s="128"/>
      <c r="J50" s="128"/>
      <c r="K50" s="174"/>
      <c r="L50" s="128"/>
      <c r="M50" s="128"/>
      <c r="N50" s="128"/>
      <c r="O50" s="128"/>
      <c r="P50" s="128"/>
      <c r="R50" s="31"/>
      <c r="S50" s="35"/>
      <c r="T50" s="35"/>
      <c r="U50" s="35"/>
      <c r="V50" s="35"/>
      <c r="W50" s="35"/>
      <c r="X50" s="35"/>
      <c r="Y50" s="35"/>
      <c r="Z50" s="35"/>
    </row>
    <row r="51" spans="2:26" ht="15" hidden="1" customHeight="1">
      <c r="B51" s="133"/>
      <c r="C51" s="133"/>
      <c r="D51" s="133"/>
      <c r="E51" s="133"/>
      <c r="F51" s="133"/>
      <c r="G51" s="133"/>
      <c r="H51" s="133"/>
      <c r="I51" s="133"/>
      <c r="J51" s="133"/>
      <c r="K51" s="175"/>
      <c r="L51" s="133"/>
      <c r="M51" s="133"/>
      <c r="N51" s="133"/>
      <c r="O51" s="133"/>
      <c r="P51" s="133"/>
      <c r="R51" s="31"/>
      <c r="S51" s="35"/>
      <c r="T51" s="35"/>
      <c r="U51" s="35"/>
      <c r="V51" s="35"/>
      <c r="W51" s="35"/>
      <c r="X51" s="35"/>
      <c r="Y51" s="35"/>
      <c r="Z51" s="35"/>
    </row>
    <row r="52" spans="2:26" ht="30" hidden="1" customHeight="1">
      <c r="B52" s="134"/>
      <c r="C52" s="134"/>
      <c r="D52" s="133"/>
      <c r="E52" s="135"/>
      <c r="F52" s="133"/>
      <c r="G52" s="133"/>
      <c r="H52" s="133"/>
      <c r="I52" s="133"/>
      <c r="J52" s="133"/>
      <c r="K52" s="175"/>
      <c r="L52" s="133"/>
      <c r="M52" s="133"/>
      <c r="N52" s="136"/>
      <c r="O52" s="136"/>
      <c r="P52" s="133"/>
      <c r="R52" s="31"/>
      <c r="S52" s="35"/>
      <c r="T52" s="35"/>
      <c r="U52" s="35"/>
      <c r="V52" s="35"/>
      <c r="W52" s="35"/>
      <c r="X52" s="35"/>
      <c r="Y52" s="35"/>
      <c r="Z52" s="35"/>
    </row>
    <row r="53" spans="2:26" ht="15" hidden="1" customHeight="1">
      <c r="B53" s="133"/>
      <c r="C53" s="133"/>
      <c r="D53" s="133"/>
      <c r="E53" s="133"/>
      <c r="F53" s="133"/>
      <c r="G53" s="133"/>
      <c r="H53" s="133"/>
      <c r="I53" s="133"/>
      <c r="J53" s="133"/>
      <c r="K53" s="175"/>
      <c r="L53" s="133"/>
      <c r="M53" s="133"/>
      <c r="N53" s="133"/>
      <c r="O53" s="133"/>
      <c r="P53" s="133"/>
      <c r="R53" s="31"/>
      <c r="S53" s="35"/>
      <c r="T53" s="35"/>
      <c r="U53" s="35"/>
      <c r="V53" s="35"/>
      <c r="W53" s="35"/>
      <c r="X53" s="35"/>
      <c r="Y53" s="35"/>
      <c r="Z53" s="35"/>
    </row>
    <row r="54" spans="2:26" ht="30" hidden="1" customHeight="1">
      <c r="B54" s="134"/>
      <c r="C54" s="134"/>
      <c r="D54" s="133"/>
      <c r="E54" s="135"/>
      <c r="F54" s="133"/>
      <c r="G54" s="133"/>
      <c r="H54" s="133"/>
      <c r="I54" s="133"/>
      <c r="J54" s="133"/>
      <c r="K54" s="175"/>
      <c r="L54" s="133"/>
      <c r="M54" s="133"/>
      <c r="N54" s="136"/>
      <c r="O54" s="136"/>
      <c r="P54" s="133"/>
      <c r="R54" s="31"/>
      <c r="S54" s="35"/>
      <c r="T54" s="35"/>
      <c r="U54" s="35"/>
      <c r="V54" s="35"/>
      <c r="W54" s="35"/>
      <c r="X54" s="35"/>
      <c r="Y54" s="35"/>
      <c r="Z54" s="35"/>
    </row>
    <row r="55" spans="2:26" ht="15" hidden="1" customHeight="1">
      <c r="B55" s="133"/>
      <c r="C55" s="133"/>
      <c r="D55" s="133"/>
      <c r="E55" s="133"/>
      <c r="F55" s="133"/>
      <c r="G55" s="133"/>
      <c r="H55" s="133"/>
      <c r="I55" s="133"/>
      <c r="J55" s="133"/>
      <c r="K55" s="175"/>
      <c r="L55" s="133"/>
      <c r="M55" s="133"/>
      <c r="N55" s="133"/>
      <c r="O55" s="133"/>
      <c r="P55" s="133"/>
      <c r="R55" s="31"/>
      <c r="S55" s="35"/>
      <c r="T55" s="35"/>
      <c r="U55" s="35"/>
      <c r="V55" s="35"/>
      <c r="W55" s="35"/>
      <c r="X55" s="35"/>
      <c r="Y55" s="35"/>
      <c r="Z55" s="35"/>
    </row>
    <row r="56" spans="2:26" ht="30" hidden="1" customHeight="1">
      <c r="B56" s="134"/>
      <c r="C56" s="134"/>
      <c r="D56" s="133"/>
      <c r="E56" s="135"/>
      <c r="F56" s="133"/>
      <c r="G56" s="133"/>
      <c r="H56" s="133"/>
      <c r="I56" s="133"/>
      <c r="J56" s="133"/>
      <c r="K56" s="175"/>
      <c r="L56" s="133"/>
      <c r="M56" s="133"/>
      <c r="N56" s="136"/>
      <c r="O56" s="136"/>
      <c r="P56" s="133"/>
      <c r="R56" s="31"/>
      <c r="S56" s="35"/>
      <c r="T56" s="35"/>
      <c r="U56" s="35"/>
      <c r="V56" s="35"/>
      <c r="W56" s="35"/>
      <c r="X56" s="35"/>
      <c r="Y56" s="35"/>
      <c r="Z56" s="35"/>
    </row>
    <row r="57" spans="2:26" ht="15" hidden="1" customHeight="1">
      <c r="B57" s="133"/>
      <c r="C57" s="133"/>
      <c r="D57" s="133"/>
      <c r="E57" s="133"/>
      <c r="F57" s="133"/>
      <c r="G57" s="133"/>
      <c r="H57" s="133"/>
      <c r="I57" s="133"/>
      <c r="J57" s="133"/>
      <c r="K57" s="175"/>
      <c r="L57" s="133"/>
      <c r="M57" s="133"/>
      <c r="N57" s="133"/>
      <c r="O57" s="133"/>
      <c r="P57" s="133"/>
      <c r="R57" s="31"/>
      <c r="S57" s="35"/>
      <c r="T57" s="35"/>
      <c r="U57" s="35"/>
      <c r="V57" s="35"/>
      <c r="W57" s="35"/>
      <c r="X57" s="35"/>
      <c r="Y57" s="35"/>
      <c r="Z57" s="35"/>
    </row>
    <row r="58" spans="2:26" ht="15" hidden="1" customHeight="1">
      <c r="B58" s="133"/>
      <c r="C58" s="133"/>
      <c r="D58" s="133"/>
      <c r="E58" s="133"/>
      <c r="F58" s="133"/>
      <c r="G58" s="133"/>
      <c r="H58" s="133"/>
      <c r="I58" s="133"/>
      <c r="J58" s="133"/>
      <c r="K58" s="175"/>
      <c r="L58" s="133"/>
      <c r="M58" s="133"/>
      <c r="N58" s="133"/>
      <c r="O58" s="133"/>
      <c r="P58" s="133"/>
      <c r="R58" s="31"/>
      <c r="S58" s="35"/>
      <c r="T58" s="35"/>
      <c r="U58" s="35"/>
      <c r="V58" s="35"/>
      <c r="W58" s="35"/>
      <c r="X58" s="35"/>
      <c r="Y58" s="35"/>
      <c r="Z58" s="35"/>
    </row>
    <row r="59" spans="2:26" ht="15" hidden="1" customHeight="1">
      <c r="B59" s="133"/>
      <c r="C59" s="133"/>
      <c r="D59" s="133"/>
      <c r="E59" s="133"/>
      <c r="F59" s="133"/>
      <c r="G59" s="133"/>
      <c r="H59" s="133"/>
      <c r="I59" s="133"/>
      <c r="J59" s="133"/>
      <c r="K59" s="175"/>
      <c r="L59" s="133"/>
      <c r="M59" s="133"/>
      <c r="N59" s="133"/>
      <c r="O59" s="133"/>
      <c r="P59" s="133"/>
      <c r="R59" s="31"/>
      <c r="S59" s="35"/>
      <c r="T59" s="35"/>
      <c r="U59" s="35"/>
      <c r="V59" s="35"/>
      <c r="W59" s="35"/>
      <c r="X59" s="35"/>
      <c r="Y59" s="35"/>
      <c r="Z59" s="35"/>
    </row>
    <row r="60" spans="2:26" ht="15" hidden="1" customHeight="1">
      <c r="B60" s="133"/>
      <c r="C60" s="133"/>
      <c r="D60" s="133"/>
      <c r="E60" s="133"/>
      <c r="F60" s="133"/>
      <c r="G60" s="133"/>
      <c r="H60" s="133"/>
      <c r="I60" s="133"/>
      <c r="J60" s="133"/>
      <c r="K60" s="175"/>
      <c r="L60" s="133"/>
      <c r="M60" s="133"/>
      <c r="N60" s="133"/>
      <c r="O60" s="133"/>
      <c r="P60" s="133"/>
      <c r="R60" s="31"/>
      <c r="S60" s="35"/>
      <c r="T60" s="35"/>
      <c r="U60" s="35"/>
      <c r="V60" s="35"/>
      <c r="W60" s="35"/>
      <c r="X60" s="35"/>
      <c r="Y60" s="35"/>
      <c r="Z60" s="35"/>
    </row>
    <row r="61" spans="2:26" ht="15" hidden="1" customHeight="1">
      <c r="B61" s="133"/>
      <c r="C61" s="133"/>
      <c r="D61" s="133"/>
      <c r="E61" s="133"/>
      <c r="F61" s="133"/>
      <c r="G61" s="133"/>
      <c r="H61" s="133"/>
      <c r="I61" s="133"/>
      <c r="J61" s="133"/>
      <c r="K61" s="175"/>
      <c r="L61" s="133"/>
      <c r="M61" s="133"/>
      <c r="N61" s="133"/>
      <c r="O61" s="133"/>
      <c r="P61" s="133"/>
      <c r="R61" s="31"/>
      <c r="S61" s="35"/>
      <c r="T61" s="35"/>
      <c r="U61" s="35"/>
      <c r="V61" s="35"/>
      <c r="W61" s="35"/>
      <c r="X61" s="35"/>
      <c r="Y61" s="35"/>
      <c r="Z61" s="35"/>
    </row>
    <row r="62" spans="2:26" ht="15" hidden="1" customHeight="1">
      <c r="B62" s="133"/>
      <c r="C62" s="133"/>
      <c r="D62" s="133"/>
      <c r="E62" s="133"/>
      <c r="F62" s="133"/>
      <c r="G62" s="133"/>
      <c r="H62" s="133"/>
      <c r="I62" s="133"/>
      <c r="J62" s="133"/>
      <c r="K62" s="175"/>
      <c r="L62" s="133"/>
      <c r="M62" s="133"/>
      <c r="N62" s="133"/>
      <c r="O62" s="133"/>
      <c r="P62" s="133"/>
      <c r="R62" s="31"/>
      <c r="S62" s="35"/>
      <c r="T62" s="35"/>
      <c r="U62" s="35"/>
      <c r="V62" s="35"/>
      <c r="W62" s="35"/>
      <c r="X62" s="35"/>
      <c r="Y62" s="35"/>
      <c r="Z62" s="35"/>
    </row>
    <row r="63" spans="2:26" ht="15" hidden="1" customHeight="1">
      <c r="B63" s="133"/>
      <c r="C63" s="133"/>
      <c r="D63" s="133"/>
      <c r="E63" s="133"/>
      <c r="F63" s="133"/>
      <c r="G63" s="133"/>
      <c r="H63" s="133"/>
      <c r="I63" s="133"/>
      <c r="J63" s="133"/>
      <c r="K63" s="175"/>
      <c r="L63" s="133"/>
      <c r="M63" s="133"/>
      <c r="N63" s="133"/>
      <c r="O63" s="133"/>
      <c r="P63" s="133"/>
      <c r="R63" s="31"/>
      <c r="S63" s="35"/>
      <c r="T63" s="35"/>
      <c r="U63" s="35"/>
      <c r="V63" s="35"/>
      <c r="W63" s="35"/>
      <c r="X63" s="35"/>
      <c r="Y63" s="35"/>
      <c r="Z63" s="35"/>
    </row>
    <row r="64" spans="2:26" ht="15" hidden="1" customHeight="1">
      <c r="B64" s="133"/>
      <c r="C64" s="133"/>
      <c r="D64" s="133"/>
      <c r="E64" s="133"/>
      <c r="F64" s="133"/>
      <c r="G64" s="133"/>
      <c r="H64" s="133"/>
      <c r="I64" s="133"/>
      <c r="J64" s="133"/>
      <c r="K64" s="175"/>
      <c r="L64" s="133"/>
      <c r="M64" s="133"/>
      <c r="N64" s="133"/>
      <c r="O64" s="133"/>
      <c r="P64" s="133"/>
      <c r="R64" s="31"/>
      <c r="S64" s="35"/>
      <c r="T64" s="35"/>
      <c r="U64" s="35"/>
      <c r="V64" s="35"/>
      <c r="W64" s="35"/>
      <c r="X64" s="35"/>
      <c r="Y64" s="35"/>
      <c r="Z64" s="35"/>
    </row>
    <row r="65" spans="2:16" ht="15.5" hidden="1">
      <c r="B65" s="133"/>
      <c r="C65" s="133"/>
      <c r="D65" s="133"/>
      <c r="E65" s="133"/>
      <c r="F65" s="133"/>
      <c r="G65" s="133"/>
      <c r="H65" s="133"/>
      <c r="I65" s="133"/>
      <c r="J65" s="133"/>
      <c r="K65" s="175"/>
      <c r="L65" s="133"/>
      <c r="M65" s="133"/>
      <c r="N65" s="133"/>
      <c r="O65" s="133"/>
      <c r="P65" s="133"/>
    </row>
    <row r="66" spans="2:16" ht="15.5" hidden="1">
      <c r="B66" s="21"/>
      <c r="C66" s="21"/>
      <c r="D66" s="21"/>
      <c r="E66" s="21"/>
      <c r="F66" s="21"/>
      <c r="G66" s="21"/>
      <c r="H66" s="21"/>
      <c r="I66" s="21"/>
      <c r="J66" s="21"/>
      <c r="K66" s="176"/>
      <c r="L66" s="21"/>
      <c r="M66" s="21"/>
      <c r="N66" s="21"/>
      <c r="O66" s="21"/>
      <c r="P66" s="21"/>
    </row>
    <row r="73" spans="2:16" ht="12.75" customHeight="1"/>
    <row r="74" spans="2:16" ht="12.75" customHeight="1"/>
    <row r="75" spans="2:16" ht="12.75" customHeight="1"/>
    <row r="76" spans="2:16" ht="12.75" customHeight="1"/>
    <row r="77" spans="2:16" ht="12.75" customHeight="1"/>
    <row r="78" spans="2:16" ht="12.75" customHeight="1"/>
    <row r="79" spans="2:16" ht="12.75" customHeight="1"/>
    <row r="80" spans="2:16" ht="12.75" customHeight="1"/>
    <row r="81" ht="12.75" customHeight="1"/>
  </sheetData>
  <sheetProtection sheet="1" selectLockedCells="1"/>
  <mergeCells count="45">
    <mergeCell ref="E9:I9"/>
    <mergeCell ref="C12:H12"/>
    <mergeCell ref="C13:H13"/>
    <mergeCell ref="C14:H14"/>
    <mergeCell ref="C15:H15"/>
    <mergeCell ref="S33:Z33"/>
    <mergeCell ref="B29:C29"/>
    <mergeCell ref="E29:I29"/>
    <mergeCell ref="B31:C31"/>
    <mergeCell ref="E31:I31"/>
    <mergeCell ref="S31:Z31"/>
    <mergeCell ref="B30:C30"/>
    <mergeCell ref="E30:I30"/>
    <mergeCell ref="B41:C41"/>
    <mergeCell ref="E41:I41"/>
    <mergeCell ref="S41:Z41"/>
    <mergeCell ref="D22:G22"/>
    <mergeCell ref="B38:C38"/>
    <mergeCell ref="E38:I38"/>
    <mergeCell ref="B39:C39"/>
    <mergeCell ref="E39:I39"/>
    <mergeCell ref="B40:C40"/>
    <mergeCell ref="E40:I40"/>
    <mergeCell ref="B36:C36"/>
    <mergeCell ref="E36:I36"/>
    <mergeCell ref="S36:Z36"/>
    <mergeCell ref="B37:C37"/>
    <mergeCell ref="E37:I37"/>
    <mergeCell ref="B32:C32"/>
    <mergeCell ref="J12:O12"/>
    <mergeCell ref="J13:O13"/>
    <mergeCell ref="J14:O14"/>
    <mergeCell ref="S39:Z39"/>
    <mergeCell ref="S40:Z40"/>
    <mergeCell ref="S28:Z28"/>
    <mergeCell ref="B27:P27"/>
    <mergeCell ref="F17:G17"/>
    <mergeCell ref="D19:D20"/>
    <mergeCell ref="D21:G21"/>
    <mergeCell ref="B28:C28"/>
    <mergeCell ref="E28:I28"/>
    <mergeCell ref="E32:I32"/>
    <mergeCell ref="S32:Z32"/>
    <mergeCell ref="B33:C33"/>
    <mergeCell ref="E33:I33"/>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E9D6EC3BC49147950C3B6961FCB32C" ma:contentTypeVersion="9" ma:contentTypeDescription="Create a new document." ma:contentTypeScope="" ma:versionID="b1284109927e3f944dbccc2d74dcae70">
  <xsd:schema xmlns:xsd="http://www.w3.org/2001/XMLSchema" xmlns:xs="http://www.w3.org/2001/XMLSchema" xmlns:p="http://schemas.microsoft.com/office/2006/metadata/properties" xmlns:ns2="e7500aa2-8381-4002-be05-7f49dac4475b" xmlns:ns3="d167063b-0a40-4f6d-bc0d-a8c8e280c29a" targetNamespace="http://schemas.microsoft.com/office/2006/metadata/properties" ma:root="true" ma:fieldsID="89a9b4d858ba3311440f5f26c42f3234" ns2:_="" ns3:_="">
    <xsd:import namespace="e7500aa2-8381-4002-be05-7f49dac4475b"/>
    <xsd:import namespace="d167063b-0a40-4f6d-bc0d-a8c8e280c29a"/>
    <xsd:element name="properties">
      <xsd:complexType>
        <xsd:sequence>
          <xsd:element name="documentManagement">
            <xsd:complexType>
              <xsd:all>
                <xsd:element ref="ns2:lc679b3d44e24870bca3f1f64d9085e6" minOccurs="0"/>
                <xsd:element ref="ns3:TaxCatchAll"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00aa2-8381-4002-be05-7f49dac4475b" elementFormDefault="qualified">
    <xsd:import namespace="http://schemas.microsoft.com/office/2006/documentManagement/types"/>
    <xsd:import namespace="http://schemas.microsoft.com/office/infopath/2007/PartnerControls"/>
    <xsd:element name="lc679b3d44e24870bca3f1f64d9085e6" ma:index="9" nillable="true" ma:taxonomy="true" ma:internalName="lc679b3d44e24870bca3f1f64d9085e6" ma:taxonomyFieldName="Meta_x0020_Tags" ma:displayName="Meta Tags" ma:readOnly="false" ma:default="" ma:fieldId="{5c679b3d-44e2-4870-bca3-f1f64d9085e6}" ma:taxonomyMulti="true" ma:sspId="acdf960d-7cbb-44d0-8c34-fed0967bc9db" ma:termSetId="37fa1520-1d3c-47da-bf19-8c7cfdbe8186"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167063b-0a40-4f6d-bc0d-a8c8e280c29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a2c7608-ab39-46b5-93f1-93239d10c561}" ma:internalName="TaxCatchAll" ma:showField="CatchAllData" ma:web="d167063b-0a40-4f6d-bc0d-a8c8e280c29a">
      <xsd:complexType>
        <xsd:complexContent>
          <xsd:extension base="dms:MultiChoiceLookup">
            <xsd:sequence>
              <xsd:element name="Value" type="dms:Lookup" maxOccurs="unbounded" minOccurs="0" nillable="true"/>
            </xsd:sequence>
          </xsd:extension>
        </xsd:complexContent>
      </xsd:complex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679b3d44e24870bca3f1f64d9085e6 xmlns="e7500aa2-8381-4002-be05-7f49dac4475b">
      <Terms xmlns="http://schemas.microsoft.com/office/infopath/2007/PartnerControls">
        <TermInfo xmlns="http://schemas.microsoft.com/office/infopath/2007/PartnerControls">
          <TermName xmlns="http://schemas.microsoft.com/office/infopath/2007/PartnerControls">Use Case</TermName>
          <TermId xmlns="http://schemas.microsoft.com/office/infopath/2007/PartnerControls">3b06d7de-2107-4ccb-82c4-7867202bad0c</TermId>
        </TermInfo>
        <TermInfo xmlns="http://schemas.microsoft.com/office/infopath/2007/PartnerControls">
          <TermName xmlns="http://schemas.microsoft.com/office/infopath/2007/PartnerControls">appliedAI</TermName>
          <TermId xmlns="http://schemas.microsoft.com/office/infopath/2007/PartnerControls">287e03ba-f809-4476-b098-432f32c185d5</TermId>
        </TermInfo>
        <TermInfo xmlns="http://schemas.microsoft.com/office/infopath/2007/PartnerControls">
          <TermName xmlns="http://schemas.microsoft.com/office/infopath/2007/PartnerControls">AI Org</TermName>
          <TermId xmlns="http://schemas.microsoft.com/office/infopath/2007/PartnerControls">d544dee7-2b25-47c7-ad91-5a14a353f0ae</TermId>
        </TermInfo>
      </Terms>
    </lc679b3d44e24870bca3f1f64d9085e6>
    <TaxCatchAll xmlns="d167063b-0a40-4f6d-bc0d-a8c8e280c29a">
      <Value>5</Value>
      <Value>3</Value>
      <Value>1</Value>
    </TaxCatchAll>
    <SharedWithUsers xmlns="d167063b-0a40-4f6d-bc0d-a8c8e280c29a">
      <UserInfo>
        <DisplayName>Edler Philipp</DisplayName>
        <AccountId>62</AccountId>
        <AccountType/>
      </UserInfo>
      <UserInfo>
        <DisplayName>Schmeisser Marcus</DisplayName>
        <AccountId>18</AccountId>
        <AccountType/>
      </UserInfo>
      <UserInfo>
        <DisplayName>Fiedler Michael</DisplayName>
        <AccountId>37</AccountId>
        <AccountType/>
      </UserInfo>
      <UserInfo>
        <DisplayName>Heim Christian</DisplayName>
        <AccountId>41</AccountId>
        <AccountType/>
      </UserInfo>
      <UserInfo>
        <DisplayName>Gaur Mudit</DisplayName>
        <AccountId>54</AccountId>
        <AccountType/>
      </UserInfo>
      <UserInfo>
        <DisplayName>Schröter Moritz</DisplayName>
        <AccountId>49</AccountId>
        <AccountType/>
      </UserInfo>
      <UserInfo>
        <DisplayName>Brus Bernd</DisplayName>
        <AccountId>55</AccountId>
        <AccountType/>
      </UserInfo>
      <UserInfo>
        <DisplayName>Schauer Andreas</DisplayName>
        <AccountId>48</AccountId>
        <AccountType/>
      </UserInfo>
      <UserInfo>
        <DisplayName>Kaufmann Peter</DisplayName>
        <AccountId>63</AccountId>
        <AccountType/>
      </UserInfo>
      <UserInfo>
        <DisplayName>Nadolny Carsten</DisplayName>
        <AccountId>64</AccountId>
        <AccountType/>
      </UserInfo>
      <UserInfo>
        <DisplayName>Lingenauber Bernhard</DisplayName>
        <AccountId>61</AccountId>
        <AccountType/>
      </UserInfo>
      <UserInfo>
        <DisplayName>Jaiswal Vibhas</DisplayName>
        <AccountId>60</AccountId>
        <AccountType/>
      </UserInfo>
      <UserInfo>
        <DisplayName>Gille Jean Philippe</DisplayName>
        <AccountId>66</AccountId>
        <AccountType/>
      </UserInfo>
      <UserInfo>
        <DisplayName>Kamm Frank-Michael</DisplayName>
        <AccountId>65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B422B1-16CC-40A5-8FEF-0D69CDB4D8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00aa2-8381-4002-be05-7f49dac4475b"/>
    <ds:schemaRef ds:uri="d167063b-0a40-4f6d-bc0d-a8c8e280c2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678AEB-E47E-4DD7-98BB-538F2C4B6B73}">
  <ds:schemaRefs>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e7500aa2-8381-4002-be05-7f49dac4475b"/>
    <ds:schemaRef ds:uri="d167063b-0a40-4f6d-bc0d-a8c8e280c29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2CF7AA43-CC72-4D3A-BA6E-583446D9CE2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vt:i4>
      </vt:variant>
    </vt:vector>
  </HeadingPairs>
  <TitlesOfParts>
    <vt:vector size="10" baseType="lpstr">
      <vt:lpstr>0-Home</vt:lpstr>
      <vt:lpstr>1-Description</vt:lpstr>
      <vt:lpstr>2-Value</vt:lpstr>
      <vt:lpstr>3-Costs</vt:lpstr>
      <vt:lpstr>4-Contacts</vt:lpstr>
      <vt:lpstr>5-Assessment</vt:lpstr>
      <vt:lpstr>Links</vt:lpstr>
      <vt:lpstr>Burndown calculation</vt:lpstr>
      <vt:lpstr>Typical ML cases</vt:lpstr>
      <vt:lpstr>Post_MVP_Pre__depl._assessment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Jannik Seger</dc:creator>
  <cp:lastModifiedBy>Jannik Seger</cp:lastModifiedBy>
  <dcterms:created xsi:type="dcterms:W3CDTF">2021-02-08T12:59:34Z</dcterms:created>
  <dcterms:modified xsi:type="dcterms:W3CDTF">2022-03-15T08:51:48Z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0x010100C4E9D6EC3BC49147950C3B6961FCB32C</vt:lpwstr>
  </property>
  <property fmtid="{D5CDD505-2E9C-101B-9397-08002B2CF9AE}" pid="3" name="Meta Tags">
    <vt:lpwstr>5;#Use Case|3b06d7de-2107-4ccb-82c4-7867202bad0c;#3;#appliedAI|287e03ba-f809-4476-b098-432f32c185d5;#1;#AI Org|d544dee7-2b25-47c7-ad91-5a14a353f0ae</vt:lpwstr>
  </property>
  <property fmtid="{D5CDD505-2E9C-101B-9397-08002B2CF9AE}" pid="4" name="MSIP_Label_90c2fedb-0da6-4717-8531-d16a1b9930f4_Enabled">
    <vt:lpwstr>true</vt:lpwstr>
  </property>
  <property fmtid="{D5CDD505-2E9C-101B-9397-08002B2CF9AE}" pid="5" name="MSIP_Label_90c2fedb-0da6-4717-8531-d16a1b9930f4_SetDate">
    <vt:lpwstr>2021-09-16T06:56:18Z</vt:lpwstr>
  </property>
  <property fmtid="{D5CDD505-2E9C-101B-9397-08002B2CF9AE}" pid="6" name="MSIP_Label_90c2fedb-0da6-4717-8531-d16a1b9930f4_Method">
    <vt:lpwstr>Standard</vt:lpwstr>
  </property>
  <property fmtid="{D5CDD505-2E9C-101B-9397-08002B2CF9AE}" pid="7" name="MSIP_Label_90c2fedb-0da6-4717-8531-d16a1b9930f4_Name">
    <vt:lpwstr>90c2fedb-0da6-4717-8531-d16a1b9930f4</vt:lpwstr>
  </property>
  <property fmtid="{D5CDD505-2E9C-101B-9397-08002B2CF9AE}" pid="8" name="MSIP_Label_90c2fedb-0da6-4717-8531-d16a1b9930f4_SiteId">
    <vt:lpwstr>45597f60-6e37-4be7-acfb-4c9e23b261ea</vt:lpwstr>
  </property>
  <property fmtid="{D5CDD505-2E9C-101B-9397-08002B2CF9AE}" pid="9" name="MSIP_Label_90c2fedb-0da6-4717-8531-d16a1b9930f4_ActionId">
    <vt:lpwstr>d1d29eb3-e1ce-4aa6-a406-55ebb8ad4eee</vt:lpwstr>
  </property>
  <property fmtid="{D5CDD505-2E9C-101B-9397-08002B2CF9AE}" pid="10" name="MSIP_Label_90c2fedb-0da6-4717-8531-d16a1b9930f4_ContentBits">
    <vt:lpwstr>0</vt:lpwstr>
  </property>
  <property fmtid="{D5CDD505-2E9C-101B-9397-08002B2CF9AE}" pid="11" name="Sensitivity">
    <vt:lpwstr>Internal</vt:lpwstr>
  </property>
</Properties>
</file>